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List1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<sst xmlns="http://schemas.openxmlformats.org/spreadsheetml/2006/main" count="132" uniqueCount="82">
  <si>
    <t>Počet</t>
  </si>
  <si>
    <t>1.</t>
  </si>
  <si>
    <t>papierové hodiny</t>
  </si>
  <si>
    <t>M 513</t>
  </si>
  <si>
    <t>výkresy A4</t>
  </si>
  <si>
    <t>M 520</t>
  </si>
  <si>
    <t>výkresy A3</t>
  </si>
  <si>
    <t>2.</t>
  </si>
  <si>
    <t>3.</t>
  </si>
  <si>
    <t>M 523</t>
  </si>
  <si>
    <t>4.</t>
  </si>
  <si>
    <t>Orientačná spotreba zošitov a školských potrieb v jednotlivých ročníkoch</t>
  </si>
  <si>
    <t>M 512</t>
  </si>
  <si>
    <t>notový zošit</t>
  </si>
  <si>
    <t>nádoba na vodu,igelit.podložka,</t>
  </si>
  <si>
    <t>kusov</t>
  </si>
  <si>
    <t>Zošity - typ</t>
  </si>
  <si>
    <t>Školské potreby - typ</t>
  </si>
  <si>
    <t>Roč.</t>
  </si>
  <si>
    <t>temperové farby, paleta</t>
  </si>
  <si>
    <t>M 524 (544)</t>
  </si>
  <si>
    <t>zelené pero, čierna fixka</t>
  </si>
  <si>
    <t>zakladač, trojuholníkové pravítko,štetce č.8 a 10</t>
  </si>
  <si>
    <t>5110 štvorčekový</t>
  </si>
  <si>
    <t>5.</t>
  </si>
  <si>
    <t>PT 564</t>
  </si>
  <si>
    <t>kružidlo</t>
  </si>
  <si>
    <t>PT 544</t>
  </si>
  <si>
    <t>uhlomer</t>
  </si>
  <si>
    <t>PT 444</t>
  </si>
  <si>
    <t>trojuholník s ryskou</t>
  </si>
  <si>
    <t>M 51</t>
  </si>
  <si>
    <t>pravítko-30 cm</t>
  </si>
  <si>
    <t>mäkké ceruzky, strúhadlo ( alebo pentelka )</t>
  </si>
  <si>
    <t>mäkká guma</t>
  </si>
  <si>
    <t>PT 440</t>
  </si>
  <si>
    <t>obyčajné farbičky</t>
  </si>
  <si>
    <t>1 sada</t>
  </si>
  <si>
    <t>dvojhárky linajkové</t>
  </si>
  <si>
    <t>zelené pero</t>
  </si>
  <si>
    <t>červené pero</t>
  </si>
  <si>
    <t>nelinajkové dvojhárky (formát A 4 )</t>
  </si>
  <si>
    <t>6.</t>
  </si>
  <si>
    <t>M 524</t>
  </si>
  <si>
    <t>PT 540</t>
  </si>
  <si>
    <t>7.</t>
  </si>
  <si>
    <t>PT 460</t>
  </si>
  <si>
    <t>8.</t>
  </si>
  <si>
    <t>slovník na CJ</t>
  </si>
  <si>
    <t>9.</t>
  </si>
  <si>
    <t>PT 464</t>
  </si>
  <si>
    <t>milimetrový papier   (formát A 4 )</t>
  </si>
  <si>
    <t>ostatné potreby také isté ako v 5. ročníku</t>
  </si>
  <si>
    <t>ostatné potreby také isté ako v 1. ročníku</t>
  </si>
  <si>
    <t>farebný papier, vodové farby, voskovky, guma</t>
  </si>
  <si>
    <t>ceruzky obyčajné č.2 HB 5 ks, 12 ks farbičky</t>
  </si>
  <si>
    <t xml:space="preserve">tekuté lepidlo, zásterka alebo staré tričko na VV, </t>
  </si>
  <si>
    <t>M 511 s pomocnou linajkou</t>
  </si>
  <si>
    <t>644 slovníček</t>
  </si>
  <si>
    <t>kružidlo až v 2.polroku (pani uč. vysvetlia aké), voskovky,</t>
  </si>
  <si>
    <t>ostatné potreby na VV a TV také isté ako v 3. ročníku</t>
  </si>
  <si>
    <t>M 544</t>
  </si>
  <si>
    <t xml:space="preserve">460 veľký čistý </t>
  </si>
  <si>
    <t>temperové farby, paleta, plastový zakladač</t>
  </si>
  <si>
    <t>farebný papier, nožnice, plastelína, voskovky,</t>
  </si>
  <si>
    <t xml:space="preserve">vrecúško na TV, cvičebný úbor, pevné tenisky s bielou </t>
  </si>
  <si>
    <t>podrážkou</t>
  </si>
  <si>
    <t>igelitová podložka, nádobka na vodu, nožnice,</t>
  </si>
  <si>
    <t>pero atramentové STABILO, sada euroobalov,</t>
  </si>
  <si>
    <t>cvičebný úbor,cvičky alebo tenisky s bielou podrážkou</t>
  </si>
  <si>
    <t xml:space="preserve">červené a zelené pero, </t>
  </si>
  <si>
    <t>M 460 veľký čistý</t>
  </si>
  <si>
    <t>guma, uzavreté strúhadlo</t>
  </si>
  <si>
    <t>linajková podložka A4,</t>
  </si>
  <si>
    <t>na školský rok 2020/2021</t>
  </si>
  <si>
    <t>rovné malé pravítko, plastelína, lepiaca tyčinka</t>
  </si>
  <si>
    <t xml:space="preserve">štetec č.12, č.8, č.16 a č.10, strúhadlo uzatvárateľné, </t>
  </si>
  <si>
    <t>M 511 s jednou pomocnou linajkou</t>
  </si>
  <si>
    <t>dlhé pravítko 30 cm, pravítko s ryskou, tyčinkové lepidlo,</t>
  </si>
  <si>
    <t>STABILO, pastelky: Progreso, obyčajné ceruzky,</t>
  </si>
  <si>
    <t xml:space="preserve">zelené pero, čierna fixka, čierny tuš a pierko, modré pero: </t>
  </si>
  <si>
    <t>štetec č.8, č.10 a č.12, balík kancelárskeho papiera,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</si>
</sst>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u val="single"/>
      <sz val="10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91">
      <selection activeCell="H36" sqref="H36"/>
    </sheetView>
  </sheetViews>
  <sheetFormatPr defaultColWidth="9.00390625" defaultRowHeight="12.75"/>
  <cols>
    <col min="1" max="1" width="4.625" style="0" customWidth="1"/>
    <col min="2" max="2" width="17.375" style="0" customWidth="1"/>
    <col min="3" max="3" width="6.875" style="0" customWidth="1"/>
    <col min="4" max="4" width="53.625" style="0" customWidth="1"/>
    <col min="5" max="5" width="9.75390625" style="0" customWidth="1"/>
  </cols>
  <sheetData>
    <row r="1" spans="1:5" ht="12.75">
      <c r="A1" s="62"/>
      <c r="B1" s="62"/>
      <c r="C1" s="62"/>
      <c r="D1" s="62"/>
      <c r="E1" s="62"/>
    </row>
    <row r="3" spans="1:5" ht="13.5">
      <c r="A3" s="63" t="s">
        <v>11</v>
      </c>
      <c r="B3" s="63"/>
      <c r="C3" s="63"/>
      <c r="D3" s="63"/>
      <c r="E3" s="63"/>
    </row>
    <row r="4" spans="1:5" ht="13.5">
      <c r="A4" s="63" t="s">
        <v>74</v>
      </c>
      <c r="B4" s="63"/>
      <c r="C4" s="63"/>
      <c r="D4" s="63"/>
      <c r="E4" s="63"/>
    </row>
    <row r="5" ht="13.5" thickBot="1"/>
    <row r="6" spans="1:5" ht="13.5" thickBot="1">
      <c r="A6" s="1" t="s">
        <v>18</v>
      </c>
      <c r="B6" s="1" t="s">
        <v>16</v>
      </c>
      <c r="C6" s="1" t="s">
        <v>0</v>
      </c>
      <c r="D6" s="1" t="s">
        <v>17</v>
      </c>
      <c r="E6" s="1" t="s">
        <v>0</v>
      </c>
    </row>
    <row r="7" spans="1:5" ht="13.5" thickBot="1">
      <c r="A7" s="57"/>
      <c r="B7" s="57"/>
      <c r="C7" s="57" t="s">
        <v>15</v>
      </c>
      <c r="D7" s="57"/>
      <c r="E7" s="57" t="s">
        <v>15</v>
      </c>
    </row>
    <row r="8" spans="1:5" ht="31.5" customHeight="1">
      <c r="A8" s="3" t="s">
        <v>1</v>
      </c>
      <c r="B8" s="42" t="s">
        <v>77</v>
      </c>
      <c r="C8" s="47">
        <v>4</v>
      </c>
      <c r="D8" s="48" t="s">
        <v>55</v>
      </c>
      <c r="E8" s="7"/>
    </row>
    <row r="9" spans="1:5" ht="16.5" customHeight="1">
      <c r="A9" s="8"/>
      <c r="B9" s="9" t="s">
        <v>3</v>
      </c>
      <c r="C9" s="12">
        <v>5</v>
      </c>
      <c r="D9" s="49" t="s">
        <v>68</v>
      </c>
      <c r="E9" s="12">
        <v>2</v>
      </c>
    </row>
    <row r="10" spans="1:5" ht="16.5" customHeight="1">
      <c r="A10" s="8"/>
      <c r="B10" s="9" t="s">
        <v>5</v>
      </c>
      <c r="C10" s="12">
        <v>2</v>
      </c>
      <c r="D10" s="49" t="s">
        <v>2</v>
      </c>
      <c r="E10" s="12"/>
    </row>
    <row r="11" spans="1:5" ht="16.5" customHeight="1">
      <c r="A11" s="8"/>
      <c r="B11" s="9">
        <v>644</v>
      </c>
      <c r="C11" s="12">
        <v>2</v>
      </c>
      <c r="D11" s="49" t="s">
        <v>4</v>
      </c>
      <c r="E11" s="12">
        <v>40</v>
      </c>
    </row>
    <row r="12" spans="1:5" ht="16.5" customHeight="1">
      <c r="A12" s="8"/>
      <c r="B12" s="9">
        <v>460</v>
      </c>
      <c r="C12" s="12">
        <v>1</v>
      </c>
      <c r="D12" s="49" t="s">
        <v>6</v>
      </c>
      <c r="E12" s="12">
        <v>30</v>
      </c>
    </row>
    <row r="13" spans="1:5" ht="16.5" customHeight="1">
      <c r="A13" s="8"/>
      <c r="B13" s="11" t="s">
        <v>23</v>
      </c>
      <c r="C13" s="41">
        <v>1</v>
      </c>
      <c r="D13" s="49" t="s">
        <v>54</v>
      </c>
      <c r="E13" s="12"/>
    </row>
    <row r="14" spans="1:5" ht="16.5" customHeight="1">
      <c r="A14" s="8"/>
      <c r="B14" s="11"/>
      <c r="C14" s="12"/>
      <c r="D14" s="49" t="s">
        <v>67</v>
      </c>
      <c r="E14" s="12"/>
    </row>
    <row r="15" spans="1:5" ht="16.5" customHeight="1">
      <c r="A15" s="8"/>
      <c r="B15" s="11"/>
      <c r="C15" s="12"/>
      <c r="D15" s="49" t="s">
        <v>76</v>
      </c>
      <c r="E15" s="12"/>
    </row>
    <row r="16" spans="1:5" ht="16.5" customHeight="1">
      <c r="A16" s="8"/>
      <c r="B16" s="11"/>
      <c r="C16" s="12"/>
      <c r="D16" s="49" t="s">
        <v>75</v>
      </c>
      <c r="E16" s="12"/>
    </row>
    <row r="17" spans="1:5" ht="16.5" customHeight="1">
      <c r="A17" s="38"/>
      <c r="B17" s="39"/>
      <c r="C17" s="40"/>
      <c r="D17" s="49" t="s">
        <v>56</v>
      </c>
      <c r="E17" s="40"/>
    </row>
    <row r="18" spans="1:5" ht="16.5" customHeight="1" thickBot="1">
      <c r="A18" s="13"/>
      <c r="B18" s="14"/>
      <c r="C18" s="16"/>
      <c r="D18" s="58" t="s">
        <v>69</v>
      </c>
      <c r="E18" s="16"/>
    </row>
    <row r="19" spans="1:5" ht="27" customHeight="1">
      <c r="A19" s="59" t="s">
        <v>7</v>
      </c>
      <c r="B19" s="42" t="s">
        <v>57</v>
      </c>
      <c r="C19" s="47">
        <v>2</v>
      </c>
      <c r="D19" s="43"/>
      <c r="E19" s="7"/>
    </row>
    <row r="20" spans="1:5" ht="16.5" customHeight="1">
      <c r="A20" s="8"/>
      <c r="B20" s="9" t="s">
        <v>12</v>
      </c>
      <c r="C20" s="12">
        <v>8</v>
      </c>
      <c r="D20" s="44" t="s">
        <v>21</v>
      </c>
      <c r="E20" s="12"/>
    </row>
    <row r="21" spans="1:5" ht="16.5" customHeight="1">
      <c r="A21" s="8"/>
      <c r="B21" s="9" t="s">
        <v>9</v>
      </c>
      <c r="C21" s="12">
        <v>6</v>
      </c>
      <c r="D21" s="44" t="s">
        <v>19</v>
      </c>
      <c r="E21" s="12"/>
    </row>
    <row r="22" spans="1:5" ht="16.5" customHeight="1">
      <c r="A22" s="8"/>
      <c r="B22" s="9">
        <v>644</v>
      </c>
      <c r="C22" s="12">
        <v>2</v>
      </c>
      <c r="D22" s="45" t="s">
        <v>22</v>
      </c>
      <c r="E22" s="12"/>
    </row>
    <row r="23" spans="1:5" ht="16.5" customHeight="1">
      <c r="A23" s="8"/>
      <c r="B23" s="9" t="s">
        <v>62</v>
      </c>
      <c r="C23" s="12">
        <v>1</v>
      </c>
      <c r="D23" s="45" t="s">
        <v>4</v>
      </c>
      <c r="E23" s="41">
        <v>40</v>
      </c>
    </row>
    <row r="24" spans="1:5" ht="16.5" customHeight="1">
      <c r="A24" s="8"/>
      <c r="B24" s="9" t="s">
        <v>13</v>
      </c>
      <c r="C24" s="12">
        <v>1</v>
      </c>
      <c r="D24" s="45" t="s">
        <v>6</v>
      </c>
      <c r="E24" s="41">
        <v>30</v>
      </c>
    </row>
    <row r="25" spans="1:5" ht="16.5" customHeight="1" thickBot="1">
      <c r="A25" s="13"/>
      <c r="B25" s="14" t="s">
        <v>23</v>
      </c>
      <c r="C25" s="16">
        <v>1</v>
      </c>
      <c r="D25" s="46" t="s">
        <v>53</v>
      </c>
      <c r="E25" s="22"/>
    </row>
    <row r="26" spans="1:5" ht="16.5" customHeight="1">
      <c r="A26" s="3" t="s">
        <v>8</v>
      </c>
      <c r="B26" s="60" t="s">
        <v>9</v>
      </c>
      <c r="C26" s="23">
        <v>10</v>
      </c>
      <c r="D26" s="6" t="s">
        <v>80</v>
      </c>
      <c r="E26" s="7"/>
    </row>
    <row r="27" spans="1:5" ht="16.5" customHeight="1">
      <c r="A27" s="8"/>
      <c r="B27" s="24" t="s">
        <v>61</v>
      </c>
      <c r="C27" s="25">
        <v>3</v>
      </c>
      <c r="D27" s="11" t="s">
        <v>79</v>
      </c>
      <c r="E27" s="12"/>
    </row>
    <row r="28" spans="1:5" ht="16.5" customHeight="1">
      <c r="A28" s="8"/>
      <c r="B28" s="9" t="s">
        <v>58</v>
      </c>
      <c r="C28" s="25">
        <v>2</v>
      </c>
      <c r="D28" s="18" t="s">
        <v>78</v>
      </c>
      <c r="E28" s="12"/>
    </row>
    <row r="29" spans="1:5" ht="16.5" customHeight="1">
      <c r="A29" s="8"/>
      <c r="B29" s="9"/>
      <c r="C29" s="25"/>
      <c r="D29" s="11" t="s">
        <v>64</v>
      </c>
      <c r="E29" s="12"/>
    </row>
    <row r="30" spans="1:5" ht="16.5" customHeight="1">
      <c r="A30" s="8"/>
      <c r="B30" s="11" t="s">
        <v>13</v>
      </c>
      <c r="C30" s="10">
        <v>1</v>
      </c>
      <c r="D30" s="11" t="s">
        <v>63</v>
      </c>
      <c r="E30" s="12"/>
    </row>
    <row r="31" spans="1:5" ht="16.5" customHeight="1">
      <c r="A31" s="8"/>
      <c r="B31" s="24" t="s">
        <v>23</v>
      </c>
      <c r="C31" s="10">
        <v>1</v>
      </c>
      <c r="D31" s="11" t="s">
        <v>6</v>
      </c>
      <c r="E31" s="12">
        <v>20</v>
      </c>
    </row>
    <row r="32" spans="1:5" ht="16.5" customHeight="1">
      <c r="A32" s="8"/>
      <c r="B32" s="11" t="s">
        <v>62</v>
      </c>
      <c r="C32" s="10">
        <v>1</v>
      </c>
      <c r="D32" s="11" t="s">
        <v>4</v>
      </c>
      <c r="E32" s="12">
        <v>20</v>
      </c>
    </row>
    <row r="33" spans="1:5" ht="16.5" customHeight="1">
      <c r="A33" s="8"/>
      <c r="B33" s="9"/>
      <c r="C33" s="10"/>
      <c r="D33" s="11" t="s">
        <v>14</v>
      </c>
      <c r="E33" s="12"/>
    </row>
    <row r="34" spans="1:5" ht="16.5" customHeight="1">
      <c r="A34" s="8"/>
      <c r="B34" s="11"/>
      <c r="C34" s="10"/>
      <c r="D34" s="11" t="s">
        <v>81</v>
      </c>
      <c r="E34" s="12"/>
    </row>
    <row r="35" spans="1:5" ht="16.5" customHeight="1">
      <c r="A35" s="8"/>
      <c r="B35" s="11"/>
      <c r="C35" s="10"/>
      <c r="D35" s="11" t="s">
        <v>72</v>
      </c>
      <c r="E35" s="12"/>
    </row>
    <row r="36" spans="1:5" ht="16.5" customHeight="1">
      <c r="A36" s="8"/>
      <c r="B36" s="11"/>
      <c r="C36" s="10"/>
      <c r="D36" s="11" t="s">
        <v>73</v>
      </c>
      <c r="E36" s="12"/>
    </row>
    <row r="37" spans="1:5" ht="16.5" customHeight="1">
      <c r="A37" s="8"/>
      <c r="B37" s="11"/>
      <c r="C37" s="10"/>
      <c r="D37" s="11" t="s">
        <v>65</v>
      </c>
      <c r="E37" s="12"/>
    </row>
    <row r="38" spans="1:5" ht="16.5" customHeight="1" thickBot="1">
      <c r="A38" s="13"/>
      <c r="B38" s="14"/>
      <c r="C38" s="15"/>
      <c r="D38" s="14" t="s">
        <v>66</v>
      </c>
      <c r="E38" s="16"/>
    </row>
    <row r="39" spans="1:5" ht="16.5" customHeight="1">
      <c r="A39" s="3" t="s">
        <v>10</v>
      </c>
      <c r="B39" s="4" t="s">
        <v>9</v>
      </c>
      <c r="C39" s="5">
        <v>10</v>
      </c>
      <c r="D39" s="17" t="s">
        <v>59</v>
      </c>
      <c r="E39" s="26"/>
    </row>
    <row r="40" spans="1:5" ht="16.5" customHeight="1">
      <c r="A40" s="8"/>
      <c r="B40" s="9" t="s">
        <v>20</v>
      </c>
      <c r="C40" s="10">
        <v>3</v>
      </c>
      <c r="D40" s="50" t="s">
        <v>70</v>
      </c>
      <c r="E40" s="28"/>
    </row>
    <row r="41" spans="1:5" ht="16.5" customHeight="1">
      <c r="A41" s="8"/>
      <c r="B41" s="9" t="s">
        <v>71</v>
      </c>
      <c r="C41" s="10">
        <v>1</v>
      </c>
      <c r="D41" s="19"/>
      <c r="E41" s="28"/>
    </row>
    <row r="42" spans="1:5" ht="16.5" customHeight="1">
      <c r="A42" s="8"/>
      <c r="B42" s="9" t="s">
        <v>58</v>
      </c>
      <c r="C42" s="10">
        <v>2</v>
      </c>
      <c r="D42" s="11"/>
      <c r="E42" s="28"/>
    </row>
    <row r="43" spans="1:5" ht="16.5" customHeight="1">
      <c r="A43" s="29"/>
      <c r="B43" s="24" t="s">
        <v>23</v>
      </c>
      <c r="C43" s="25">
        <v>1</v>
      </c>
      <c r="D43" s="11"/>
      <c r="E43" s="20"/>
    </row>
    <row r="44" spans="1:5" ht="16.5" customHeight="1" thickBot="1">
      <c r="A44" s="13"/>
      <c r="B44" s="21" t="s">
        <v>13</v>
      </c>
      <c r="C44" s="15">
        <v>1</v>
      </c>
      <c r="D44" s="56" t="s">
        <v>60</v>
      </c>
      <c r="E44" s="30"/>
    </row>
    <row r="45" spans="1:5" ht="16.5" customHeight="1">
      <c r="A45" s="51"/>
      <c r="B45" s="52"/>
      <c r="C45" s="53"/>
      <c r="D45" s="54"/>
      <c r="E45" s="55"/>
    </row>
    <row r="46" ht="38.25" customHeight="1" thickBot="1"/>
    <row r="47" spans="1:5" ht="12.75">
      <c r="A47" s="1" t="s">
        <v>18</v>
      </c>
      <c r="B47" s="1" t="s">
        <v>16</v>
      </c>
      <c r="C47" s="1" t="s">
        <v>0</v>
      </c>
      <c r="D47" s="1" t="s">
        <v>17</v>
      </c>
      <c r="E47" s="1" t="s">
        <v>0</v>
      </c>
    </row>
    <row r="48" spans="1:5" ht="13.5" thickBot="1">
      <c r="A48" s="2"/>
      <c r="B48" s="2"/>
      <c r="C48" s="2" t="s">
        <v>15</v>
      </c>
      <c r="D48" s="2"/>
      <c r="E48" s="2" t="s">
        <v>15</v>
      </c>
    </row>
    <row r="49" spans="1:5" ht="13.5">
      <c r="A49" s="31" t="s">
        <v>24</v>
      </c>
      <c r="B49" s="6" t="s">
        <v>25</v>
      </c>
      <c r="C49" s="5">
        <v>6</v>
      </c>
      <c r="D49" s="6" t="s">
        <v>26</v>
      </c>
      <c r="E49" s="7">
        <v>1</v>
      </c>
    </row>
    <row r="50" spans="1:5" ht="16.5" customHeight="1">
      <c r="A50" s="32"/>
      <c r="B50" s="11" t="s">
        <v>27</v>
      </c>
      <c r="C50" s="10">
        <v>7</v>
      </c>
      <c r="D50" s="11" t="s">
        <v>28</v>
      </c>
      <c r="E50" s="12">
        <v>1</v>
      </c>
    </row>
    <row r="51" spans="1:5" ht="16.5" customHeight="1">
      <c r="A51" s="32"/>
      <c r="B51" s="11" t="s">
        <v>29</v>
      </c>
      <c r="C51" s="10">
        <v>2</v>
      </c>
      <c r="D51" s="11" t="s">
        <v>30</v>
      </c>
      <c r="E51" s="12">
        <v>1</v>
      </c>
    </row>
    <row r="52" spans="1:5" ht="16.5" customHeight="1">
      <c r="A52" s="32"/>
      <c r="B52" s="11" t="s">
        <v>31</v>
      </c>
      <c r="C52" s="10">
        <v>1</v>
      </c>
      <c r="D52" s="11" t="s">
        <v>32</v>
      </c>
      <c r="E52" s="12">
        <v>1</v>
      </c>
    </row>
    <row r="53" spans="1:5" ht="16.5" customHeight="1">
      <c r="A53" s="32"/>
      <c r="B53" s="11"/>
      <c r="C53" s="10"/>
      <c r="D53" s="11" t="s">
        <v>33</v>
      </c>
      <c r="E53" s="12"/>
    </row>
    <row r="54" spans="1:5" ht="16.5" customHeight="1">
      <c r="A54" s="32"/>
      <c r="B54" s="11"/>
      <c r="C54" s="10"/>
      <c r="D54" s="11" t="s">
        <v>34</v>
      </c>
      <c r="E54" s="12">
        <v>1</v>
      </c>
    </row>
    <row r="55" spans="1:5" ht="16.5" customHeight="1">
      <c r="A55" s="32"/>
      <c r="B55" s="18" t="s">
        <v>35</v>
      </c>
      <c r="C55" s="10">
        <v>5</v>
      </c>
      <c r="D55" s="11" t="s">
        <v>36</v>
      </c>
      <c r="E55" s="12" t="s">
        <v>37</v>
      </c>
    </row>
    <row r="56" spans="1:5" ht="16.5" customHeight="1">
      <c r="A56" s="32"/>
      <c r="B56" s="9">
        <v>460</v>
      </c>
      <c r="C56" s="10">
        <v>3</v>
      </c>
      <c r="D56" s="11" t="s">
        <v>38</v>
      </c>
      <c r="E56" s="12">
        <v>4</v>
      </c>
    </row>
    <row r="57" spans="1:5" ht="16.5" customHeight="1">
      <c r="A57" s="32"/>
      <c r="B57" s="9">
        <v>540</v>
      </c>
      <c r="C57" s="10">
        <v>1</v>
      </c>
      <c r="D57" s="11" t="s">
        <v>39</v>
      </c>
      <c r="E57" s="12">
        <v>1</v>
      </c>
    </row>
    <row r="58" spans="1:5" ht="16.5" customHeight="1">
      <c r="A58" s="32"/>
      <c r="B58" s="9"/>
      <c r="C58" s="10"/>
      <c r="D58" s="11" t="s">
        <v>40</v>
      </c>
      <c r="E58" s="12">
        <v>1</v>
      </c>
    </row>
    <row r="59" spans="1:5" ht="16.5" customHeight="1">
      <c r="A59" s="32"/>
      <c r="B59" s="9"/>
      <c r="C59" s="10"/>
      <c r="D59" s="11" t="s">
        <v>6</v>
      </c>
      <c r="E59" s="12">
        <v>10</v>
      </c>
    </row>
    <row r="60" spans="1:5" ht="16.5" customHeight="1">
      <c r="A60" s="32"/>
      <c r="B60" s="9"/>
      <c r="C60" s="10"/>
      <c r="D60" s="11" t="s">
        <v>4</v>
      </c>
      <c r="E60" s="12">
        <v>10</v>
      </c>
    </row>
    <row r="61" spans="1:5" ht="16.5" customHeight="1">
      <c r="A61" s="32"/>
      <c r="B61" s="9"/>
      <c r="C61" s="10"/>
      <c r="D61" s="11" t="s">
        <v>41</v>
      </c>
      <c r="E61" s="12">
        <v>10</v>
      </c>
    </row>
    <row r="62" spans="1:5" ht="16.5" customHeight="1" thickBot="1">
      <c r="A62" s="33"/>
      <c r="B62" s="21"/>
      <c r="C62" s="14"/>
      <c r="D62" s="14"/>
      <c r="E62" s="16"/>
    </row>
    <row r="63" spans="1:5" ht="16.5" customHeight="1">
      <c r="A63" s="31" t="s">
        <v>42</v>
      </c>
      <c r="B63" s="6" t="s">
        <v>25</v>
      </c>
      <c r="C63" s="5">
        <v>8</v>
      </c>
      <c r="D63" s="34"/>
      <c r="E63" s="7"/>
    </row>
    <row r="64" spans="1:5" ht="16.5" customHeight="1">
      <c r="A64" s="32"/>
      <c r="B64" s="11" t="s">
        <v>43</v>
      </c>
      <c r="C64" s="10">
        <v>1</v>
      </c>
      <c r="D64" s="19" t="s">
        <v>52</v>
      </c>
      <c r="E64" s="12"/>
    </row>
    <row r="65" spans="1:5" ht="16.5" customHeight="1">
      <c r="A65" s="32"/>
      <c r="B65" s="11" t="s">
        <v>27</v>
      </c>
      <c r="C65" s="10">
        <v>4</v>
      </c>
      <c r="D65" s="11"/>
      <c r="E65" s="12"/>
    </row>
    <row r="66" spans="1:5" ht="16.5" customHeight="1">
      <c r="A66" s="32"/>
      <c r="B66" s="11" t="s">
        <v>29</v>
      </c>
      <c r="C66" s="10">
        <v>2</v>
      </c>
      <c r="D66" s="11"/>
      <c r="E66" s="12"/>
    </row>
    <row r="67" spans="1:5" ht="16.5" customHeight="1">
      <c r="A67" s="32"/>
      <c r="B67" s="11" t="s">
        <v>35</v>
      </c>
      <c r="C67" s="10">
        <v>4</v>
      </c>
      <c r="D67" s="11"/>
      <c r="E67" s="12"/>
    </row>
    <row r="68" spans="1:5" ht="16.5" customHeight="1">
      <c r="A68" s="32"/>
      <c r="B68" s="11" t="s">
        <v>44</v>
      </c>
      <c r="C68" s="10">
        <v>2</v>
      </c>
      <c r="D68" s="11"/>
      <c r="E68" s="12"/>
    </row>
    <row r="69" spans="1:5" ht="16.5" customHeight="1" thickBot="1">
      <c r="A69" s="32"/>
      <c r="B69" s="11" t="s">
        <v>31</v>
      </c>
      <c r="C69" s="10">
        <v>1</v>
      </c>
      <c r="D69" s="11"/>
      <c r="E69" s="12"/>
    </row>
    <row r="70" spans="1:5" ht="16.5" customHeight="1">
      <c r="A70" s="31" t="s">
        <v>45</v>
      </c>
      <c r="B70" s="17" t="s">
        <v>25</v>
      </c>
      <c r="C70" s="23">
        <v>8</v>
      </c>
      <c r="D70" s="35"/>
      <c r="E70" s="7"/>
    </row>
    <row r="71" spans="1:5" ht="16.5" customHeight="1">
      <c r="A71" s="32"/>
      <c r="B71" s="18" t="s">
        <v>27</v>
      </c>
      <c r="C71" s="25">
        <v>4</v>
      </c>
      <c r="D71" s="19" t="s">
        <v>52</v>
      </c>
      <c r="E71" s="12"/>
    </row>
    <row r="72" spans="1:5" ht="16.5" customHeight="1">
      <c r="A72" s="32"/>
      <c r="B72" s="18" t="s">
        <v>29</v>
      </c>
      <c r="C72" s="25">
        <v>2</v>
      </c>
      <c r="D72" s="11"/>
      <c r="E72" s="12"/>
    </row>
    <row r="73" spans="1:5" ht="16.5" customHeight="1">
      <c r="A73" s="32"/>
      <c r="B73" s="18" t="s">
        <v>46</v>
      </c>
      <c r="C73" s="25">
        <v>4</v>
      </c>
      <c r="D73" s="11"/>
      <c r="E73" s="12"/>
    </row>
    <row r="74" spans="1:5" ht="16.5" customHeight="1">
      <c r="A74" s="32"/>
      <c r="B74" s="18" t="s">
        <v>44</v>
      </c>
      <c r="C74" s="25">
        <v>6</v>
      </c>
      <c r="D74" s="11"/>
      <c r="E74" s="12"/>
    </row>
    <row r="75" spans="1:5" ht="16.5" customHeight="1" thickBot="1">
      <c r="A75" s="32"/>
      <c r="B75" s="18" t="s">
        <v>31</v>
      </c>
      <c r="C75" s="25">
        <v>1</v>
      </c>
      <c r="D75" s="11"/>
      <c r="E75" s="12"/>
    </row>
    <row r="76" spans="1:5" ht="16.5" customHeight="1">
      <c r="A76" s="31" t="s">
        <v>47</v>
      </c>
      <c r="B76" s="17" t="s">
        <v>27</v>
      </c>
      <c r="C76" s="23">
        <v>7</v>
      </c>
      <c r="D76" s="6" t="s">
        <v>48</v>
      </c>
      <c r="E76" s="7">
        <v>1</v>
      </c>
    </row>
    <row r="77" spans="1:5" ht="16.5" customHeight="1">
      <c r="A77" s="32"/>
      <c r="B77" s="18" t="s">
        <v>29</v>
      </c>
      <c r="C77" s="25">
        <v>2</v>
      </c>
      <c r="D77" s="11"/>
      <c r="E77" s="12"/>
    </row>
    <row r="78" spans="1:5" ht="16.5" customHeight="1">
      <c r="A78" s="32"/>
      <c r="B78" s="18" t="s">
        <v>46</v>
      </c>
      <c r="C78" s="25">
        <v>4</v>
      </c>
      <c r="D78" s="11"/>
      <c r="E78" s="12"/>
    </row>
    <row r="79" spans="1:5" ht="16.5" customHeight="1">
      <c r="A79" s="32"/>
      <c r="B79" s="18" t="s">
        <v>44</v>
      </c>
      <c r="C79" s="25">
        <v>6</v>
      </c>
      <c r="D79" s="19" t="s">
        <v>52</v>
      </c>
      <c r="E79" s="12"/>
    </row>
    <row r="80" spans="1:5" ht="16.5" customHeight="1">
      <c r="A80" s="32"/>
      <c r="B80" s="18" t="s">
        <v>25</v>
      </c>
      <c r="C80" s="25">
        <v>5</v>
      </c>
      <c r="D80" s="11"/>
      <c r="E80" s="12"/>
    </row>
    <row r="81" spans="1:5" ht="16.5" customHeight="1" thickBot="1">
      <c r="A81" s="33"/>
      <c r="B81" s="36" t="s">
        <v>31</v>
      </c>
      <c r="C81" s="37">
        <v>1</v>
      </c>
      <c r="D81" s="14"/>
      <c r="E81" s="16"/>
    </row>
    <row r="82" spans="1:5" ht="16.5" customHeight="1">
      <c r="A82" s="31" t="s">
        <v>49</v>
      </c>
      <c r="B82" s="17" t="s">
        <v>50</v>
      </c>
      <c r="C82" s="23">
        <v>4</v>
      </c>
      <c r="D82" s="11" t="s">
        <v>51</v>
      </c>
      <c r="E82" s="12">
        <v>12</v>
      </c>
    </row>
    <row r="83" spans="1:5" ht="16.5" customHeight="1">
      <c r="A83" s="32"/>
      <c r="B83" s="18" t="s">
        <v>27</v>
      </c>
      <c r="C83" s="25">
        <v>6</v>
      </c>
      <c r="D83" s="19" t="s">
        <v>52</v>
      </c>
      <c r="E83" s="12"/>
    </row>
    <row r="84" spans="1:5" ht="16.5" customHeight="1">
      <c r="A84" s="32"/>
      <c r="B84" s="18" t="s">
        <v>46</v>
      </c>
      <c r="C84" s="25">
        <v>6</v>
      </c>
      <c r="D84" s="27"/>
      <c r="E84" s="12"/>
    </row>
    <row r="85" spans="1:5" ht="16.5" customHeight="1">
      <c r="A85" s="32"/>
      <c r="B85" s="18" t="s">
        <v>44</v>
      </c>
      <c r="C85" s="25">
        <v>6</v>
      </c>
      <c r="D85" s="11"/>
      <c r="E85" s="12"/>
    </row>
    <row r="86" spans="1:5" ht="16.5" customHeight="1">
      <c r="A86" s="32"/>
      <c r="B86" s="18" t="s">
        <v>25</v>
      </c>
      <c r="C86" s="25">
        <v>6</v>
      </c>
      <c r="D86" s="11"/>
      <c r="E86" s="12"/>
    </row>
    <row r="87" spans="1:5" ht="16.5" customHeight="1">
      <c r="A87" s="32"/>
      <c r="B87" s="18" t="s">
        <v>43</v>
      </c>
      <c r="C87" s="25">
        <v>1</v>
      </c>
      <c r="D87" s="11"/>
      <c r="E87" s="12"/>
    </row>
    <row r="88" spans="1:5" ht="16.5" customHeight="1">
      <c r="A88" s="32"/>
      <c r="B88" s="18" t="s">
        <v>29</v>
      </c>
      <c r="C88" s="25">
        <v>2</v>
      </c>
      <c r="D88" s="11"/>
      <c r="E88" s="12"/>
    </row>
    <row r="89" spans="1:5" ht="16.5" customHeight="1" thickBot="1">
      <c r="A89" s="33"/>
      <c r="B89" s="36" t="s">
        <v>31</v>
      </c>
      <c r="C89" s="37">
        <v>1</v>
      </c>
      <c r="D89" s="14"/>
      <c r="E89" s="16"/>
    </row>
    <row r="91" spans="1:4" ht="12.75">
      <c r="A91" s="61"/>
      <c r="B91" s="61"/>
      <c r="C91" s="61"/>
      <c r="D91" s="61"/>
    </row>
  </sheetData>
  <sheetProtection/>
  <mergeCells count="4">
    <mergeCell ref="A91:D91"/>
    <mergeCell ref="A1:E1"/>
    <mergeCell ref="A3:E3"/>
    <mergeCell ref="A4:E4"/>
  </mergeCells>
  <printOptions/>
  <pageMargins left="0.35433070866141736" right="0.15748031496062992" top="0.6692913385826772" bottom="0.5511811023622047" header="0.5118110236220472" footer="0.5118110236220472"/>
  <pageSetup horizontalDpi="600" verticalDpi="600" orientation="portrait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56" ht="12.75">
      <c r="A1">
        <f>IF(List1!1:1,"AAAAAG3/3gA=",0)</f>
        <v>0</v>
      </c>
      <c r="B1" t="e">
        <f>AND(List1!A1,"AAAAAG3/3gE=")</f>
        <v>#VALUE!</v>
      </c>
      <c r="C1" t="e">
        <f>AND(List1!B1,"AAAAAG3/3gI=")</f>
        <v>#VALUE!</v>
      </c>
      <c r="D1" t="e">
        <f>AND(List1!C1,"AAAAAG3/3gM=")</f>
        <v>#VALUE!</v>
      </c>
      <c r="E1" t="e">
        <f>AND(List1!D1,"AAAAAG3/3gQ=")</f>
        <v>#VALUE!</v>
      </c>
      <c r="F1" t="e">
        <f>AND(List1!E1,"AAAAAG3/3gU=")</f>
        <v>#VALUE!</v>
      </c>
      <c r="G1">
        <f>IF(List1!2:2,"AAAAAG3/3gY=",0)</f>
        <v>0</v>
      </c>
      <c r="H1" t="e">
        <f>AND(List1!A2,"AAAAAG3/3gc=")</f>
        <v>#VALUE!</v>
      </c>
      <c r="I1" t="e">
        <f>AND(List1!B2,"AAAAAG3/3gg=")</f>
        <v>#VALUE!</v>
      </c>
      <c r="J1" t="e">
        <f>AND(List1!C2,"AAAAAG3/3gk=")</f>
        <v>#VALUE!</v>
      </c>
      <c r="K1" t="e">
        <f>AND(List1!D2,"AAAAAG3/3go=")</f>
        <v>#VALUE!</v>
      </c>
      <c r="L1" t="e">
        <f>AND(List1!E2,"AAAAAG3/3gs=")</f>
        <v>#VALUE!</v>
      </c>
      <c r="M1">
        <f>IF(List1!3:3,"AAAAAG3/3gw=",0)</f>
        <v>0</v>
      </c>
      <c r="N1" t="e">
        <f>AND(List1!A3,"AAAAAG3/3g0=")</f>
        <v>#VALUE!</v>
      </c>
      <c r="O1" t="e">
        <f>AND(List1!B3,"AAAAAG3/3g4=")</f>
        <v>#VALUE!</v>
      </c>
      <c r="P1" t="e">
        <f>AND(List1!C3,"AAAAAG3/3g8=")</f>
        <v>#VALUE!</v>
      </c>
      <c r="Q1" t="e">
        <f>AND(List1!D3,"AAAAAG3/3hA=")</f>
        <v>#VALUE!</v>
      </c>
      <c r="R1" t="e">
        <f>AND(List1!E3,"AAAAAG3/3hE=")</f>
        <v>#VALUE!</v>
      </c>
      <c r="S1">
        <f>IF(List1!4:4,"AAAAAG3/3hI=",0)</f>
        <v>0</v>
      </c>
      <c r="T1" t="e">
        <f>AND(List1!A4,"AAAAAG3/3hM=")</f>
        <v>#VALUE!</v>
      </c>
      <c r="U1" t="e">
        <f>AND(List1!B4,"AAAAAG3/3hQ=")</f>
        <v>#VALUE!</v>
      </c>
      <c r="V1" t="e">
        <f>AND(List1!C4,"AAAAAG3/3hU=")</f>
        <v>#VALUE!</v>
      </c>
      <c r="W1" t="e">
        <f>AND(List1!D4,"AAAAAG3/3hY=")</f>
        <v>#VALUE!</v>
      </c>
      <c r="X1" t="e">
        <f>AND(List1!E4,"AAAAAG3/3hc=")</f>
        <v>#VALUE!</v>
      </c>
      <c r="Y1">
        <f>IF(List1!5:5,"AAAAAG3/3hg=",0)</f>
        <v>0</v>
      </c>
      <c r="Z1" t="e">
        <f>AND(List1!A5,"AAAAAG3/3hk=")</f>
        <v>#VALUE!</v>
      </c>
      <c r="AA1" t="e">
        <f>AND(List1!B5,"AAAAAG3/3ho=")</f>
        <v>#VALUE!</v>
      </c>
      <c r="AB1" t="e">
        <f>AND(List1!C5,"AAAAAG3/3hs=")</f>
        <v>#VALUE!</v>
      </c>
      <c r="AC1" t="e">
        <f>AND(List1!D5,"AAAAAG3/3hw=")</f>
        <v>#VALUE!</v>
      </c>
      <c r="AD1" t="e">
        <f>AND(List1!E5,"AAAAAG3/3h0=")</f>
        <v>#VALUE!</v>
      </c>
      <c r="AE1">
        <f>IF(List1!6:6,"AAAAAG3/3h4=",0)</f>
        <v>0</v>
      </c>
      <c r="AF1" t="e">
        <f>AND(List1!A6,"AAAAAG3/3h8=")</f>
        <v>#VALUE!</v>
      </c>
      <c r="AG1" t="e">
        <f>AND(List1!B6,"AAAAAG3/3iA=")</f>
        <v>#VALUE!</v>
      </c>
      <c r="AH1" t="e">
        <f>AND(List1!C6,"AAAAAG3/3iE=")</f>
        <v>#VALUE!</v>
      </c>
      <c r="AI1" t="e">
        <f>AND(List1!D6,"AAAAAG3/3iI=")</f>
        <v>#VALUE!</v>
      </c>
      <c r="AJ1" t="e">
        <f>AND(List1!E6,"AAAAAG3/3iM=")</f>
        <v>#VALUE!</v>
      </c>
      <c r="AK1">
        <f>IF(List1!7:7,"AAAAAG3/3iQ=",0)</f>
        <v>0</v>
      </c>
      <c r="AL1" t="e">
        <f>AND(List1!A7,"AAAAAG3/3iU=")</f>
        <v>#VALUE!</v>
      </c>
      <c r="AM1" t="e">
        <f>AND(List1!B7,"AAAAAG3/3iY=")</f>
        <v>#VALUE!</v>
      </c>
      <c r="AN1" t="e">
        <f>AND(List1!C7,"AAAAAG3/3ic=")</f>
        <v>#VALUE!</v>
      </c>
      <c r="AO1" t="e">
        <f>AND(List1!D7,"AAAAAG3/3ig=")</f>
        <v>#VALUE!</v>
      </c>
      <c r="AP1" t="e">
        <f>AND(List1!E7,"AAAAAG3/3ik=")</f>
        <v>#VALUE!</v>
      </c>
      <c r="AQ1">
        <f>IF(List1!8:8,"AAAAAG3/3io=",0)</f>
        <v>0</v>
      </c>
      <c r="AR1" t="e">
        <f>AND(List1!A8,"AAAAAG3/3is=")</f>
        <v>#VALUE!</v>
      </c>
      <c r="AS1" t="e">
        <f>AND(List1!B8,"AAAAAG3/3iw=")</f>
        <v>#VALUE!</v>
      </c>
      <c r="AT1" t="e">
        <f>AND(List1!C8,"AAAAAG3/3i0=")</f>
        <v>#VALUE!</v>
      </c>
      <c r="AU1" t="e">
        <f>AND(List1!D8,"AAAAAG3/3i4=")</f>
        <v>#VALUE!</v>
      </c>
      <c r="AV1" t="e">
        <f>AND(List1!E8,"AAAAAG3/3i8=")</f>
        <v>#VALUE!</v>
      </c>
      <c r="AW1">
        <f>IF(List1!9:9,"AAAAAG3/3jA=",0)</f>
        <v>0</v>
      </c>
      <c r="AX1" t="e">
        <f>AND(List1!A9,"AAAAAG3/3jE=")</f>
        <v>#VALUE!</v>
      </c>
      <c r="AY1" t="e">
        <f>AND(List1!B9,"AAAAAG3/3jI=")</f>
        <v>#VALUE!</v>
      </c>
      <c r="AZ1" t="e">
        <f>AND(List1!C9,"AAAAAG3/3jM=")</f>
        <v>#VALUE!</v>
      </c>
      <c r="BA1" t="e">
        <f>AND(List1!D9,"AAAAAG3/3jQ=")</f>
        <v>#VALUE!</v>
      </c>
      <c r="BB1" t="e">
        <f>AND(List1!E9,"AAAAAG3/3jU=")</f>
        <v>#VALUE!</v>
      </c>
      <c r="BC1">
        <f>IF(List1!10:10,"AAAAAG3/3jY=",0)</f>
        <v>0</v>
      </c>
      <c r="BD1" t="e">
        <f>AND(List1!A10,"AAAAAG3/3jc=")</f>
        <v>#VALUE!</v>
      </c>
      <c r="BE1" t="e">
        <f>AND(List1!B10,"AAAAAG3/3jg=")</f>
        <v>#VALUE!</v>
      </c>
      <c r="BF1" t="e">
        <f>AND(List1!C10,"AAAAAG3/3jk=")</f>
        <v>#VALUE!</v>
      </c>
      <c r="BG1" t="e">
        <f>AND(List1!D10,"AAAAAG3/3jo=")</f>
        <v>#VALUE!</v>
      </c>
      <c r="BH1" t="e">
        <f>AND(List1!E10,"AAAAAG3/3js=")</f>
        <v>#VALUE!</v>
      </c>
      <c r="BI1">
        <f>IF(List1!11:11,"AAAAAG3/3jw=",0)</f>
        <v>0</v>
      </c>
      <c r="BJ1" t="e">
        <f>AND(List1!A11,"AAAAAG3/3j0=")</f>
        <v>#VALUE!</v>
      </c>
      <c r="BK1" t="e">
        <f>AND(List1!B11,"AAAAAG3/3j4=")</f>
        <v>#VALUE!</v>
      </c>
      <c r="BL1" t="e">
        <f>AND(List1!C11,"AAAAAG3/3j8=")</f>
        <v>#VALUE!</v>
      </c>
      <c r="BM1" t="e">
        <f>AND(List1!D11,"AAAAAG3/3kA=")</f>
        <v>#VALUE!</v>
      </c>
      <c r="BN1" t="e">
        <f>AND(List1!E11,"AAAAAG3/3kE=")</f>
        <v>#VALUE!</v>
      </c>
      <c r="BO1">
        <f>IF(List1!12:12,"AAAAAG3/3kI=",0)</f>
        <v>0</v>
      </c>
      <c r="BP1" t="e">
        <f>AND(List1!A12,"AAAAAG3/3kM=")</f>
        <v>#VALUE!</v>
      </c>
      <c r="BQ1" t="e">
        <f>AND(List1!B12,"AAAAAG3/3kQ=")</f>
        <v>#VALUE!</v>
      </c>
      <c r="BR1" t="e">
        <f>AND(List1!C12,"AAAAAG3/3kU=")</f>
        <v>#VALUE!</v>
      </c>
      <c r="BS1" t="e">
        <f>AND(List1!D12,"AAAAAG3/3kY=")</f>
        <v>#VALUE!</v>
      </c>
      <c r="BT1" t="e">
        <f>AND(List1!E12,"AAAAAG3/3kc=")</f>
        <v>#VALUE!</v>
      </c>
      <c r="BU1">
        <f>IF(List1!13:13,"AAAAAG3/3kg=",0)</f>
        <v>0</v>
      </c>
      <c r="BV1" t="e">
        <f>AND(List1!A13,"AAAAAG3/3kk=")</f>
        <v>#VALUE!</v>
      </c>
      <c r="BW1" t="e">
        <f>AND(List1!B13,"AAAAAG3/3ko=")</f>
        <v>#VALUE!</v>
      </c>
      <c r="BX1" t="e">
        <f>AND(List1!C13,"AAAAAG3/3ks=")</f>
        <v>#VALUE!</v>
      </c>
      <c r="BY1" t="e">
        <f>AND(List1!D13,"AAAAAG3/3kw=")</f>
        <v>#VALUE!</v>
      </c>
      <c r="BZ1" t="e">
        <f>AND(List1!E13,"AAAAAG3/3k0=")</f>
        <v>#VALUE!</v>
      </c>
      <c r="CA1">
        <f>IF(List1!14:14,"AAAAAG3/3k4=",0)</f>
        <v>0</v>
      </c>
      <c r="CB1" t="e">
        <f>AND(List1!A14,"AAAAAG3/3k8=")</f>
        <v>#VALUE!</v>
      </c>
      <c r="CC1" t="e">
        <f>AND(List1!B14,"AAAAAG3/3lA=")</f>
        <v>#VALUE!</v>
      </c>
      <c r="CD1" t="e">
        <f>AND(List1!C14,"AAAAAG3/3lE=")</f>
        <v>#VALUE!</v>
      </c>
      <c r="CE1" t="e">
        <f>AND(List1!D14,"AAAAAG3/3lI=")</f>
        <v>#VALUE!</v>
      </c>
      <c r="CF1" t="e">
        <f>AND(List1!E14,"AAAAAG3/3lM=")</f>
        <v>#VALUE!</v>
      </c>
      <c r="CG1">
        <f>IF(List1!15:15,"AAAAAG3/3lQ=",0)</f>
        <v>0</v>
      </c>
      <c r="CH1" t="e">
        <f>AND(List1!A15,"AAAAAG3/3lU=")</f>
        <v>#VALUE!</v>
      </c>
      <c r="CI1" t="e">
        <f>AND(List1!B15,"AAAAAG3/3lY=")</f>
        <v>#VALUE!</v>
      </c>
      <c r="CJ1" t="e">
        <f>AND(List1!C15,"AAAAAG3/3lc=")</f>
        <v>#VALUE!</v>
      </c>
      <c r="CK1" t="e">
        <f>AND(List1!D15,"AAAAAG3/3lg=")</f>
        <v>#VALUE!</v>
      </c>
      <c r="CL1" t="e">
        <f>AND(List1!E15,"AAAAAG3/3lk=")</f>
        <v>#VALUE!</v>
      </c>
      <c r="CM1">
        <f>IF(List1!16:16,"AAAAAG3/3lo=",0)</f>
        <v>0</v>
      </c>
      <c r="CN1" t="e">
        <f>AND(List1!A16,"AAAAAG3/3ls=")</f>
        <v>#VALUE!</v>
      </c>
      <c r="CO1" t="e">
        <f>AND(List1!B16,"AAAAAG3/3lw=")</f>
        <v>#VALUE!</v>
      </c>
      <c r="CP1" t="e">
        <f>AND(List1!C16,"AAAAAG3/3l0=")</f>
        <v>#VALUE!</v>
      </c>
      <c r="CQ1" t="e">
        <f>AND(List1!D16,"AAAAAG3/3l4=")</f>
        <v>#VALUE!</v>
      </c>
      <c r="CR1" t="e">
        <f>AND(List1!E16,"AAAAAG3/3l8=")</f>
        <v>#VALUE!</v>
      </c>
      <c r="CS1">
        <f>IF(List1!18:18,"AAAAAG3/3mA=",0)</f>
        <v>0</v>
      </c>
      <c r="CT1" t="e">
        <f>AND(List1!A18,"AAAAAG3/3mE=")</f>
        <v>#VALUE!</v>
      </c>
      <c r="CU1" t="e">
        <f>AND(List1!B18,"AAAAAG3/3mI=")</f>
        <v>#VALUE!</v>
      </c>
      <c r="CV1" t="e">
        <f>AND(List1!C18,"AAAAAG3/3mM=")</f>
        <v>#VALUE!</v>
      </c>
      <c r="CW1" t="e">
        <f>AND(List1!D18,"AAAAAG3/3mQ=")</f>
        <v>#VALUE!</v>
      </c>
      <c r="CX1" t="e">
        <f>AND(List1!E18,"AAAAAG3/3mU=")</f>
        <v>#VALUE!</v>
      </c>
      <c r="CY1">
        <f>IF(List1!19:19,"AAAAAG3/3mY=",0)</f>
        <v>0</v>
      </c>
      <c r="CZ1" t="e">
        <f>AND(List1!A19,"AAAAAG3/3mc=")</f>
        <v>#VALUE!</v>
      </c>
      <c r="DA1" t="e">
        <f>AND(List1!B19,"AAAAAG3/3mg=")</f>
        <v>#VALUE!</v>
      </c>
      <c r="DB1" t="e">
        <f>AND(List1!C19,"AAAAAG3/3mk=")</f>
        <v>#VALUE!</v>
      </c>
      <c r="DC1" t="e">
        <f>AND(List1!D19,"AAAAAG3/3mo=")</f>
        <v>#VALUE!</v>
      </c>
      <c r="DD1" t="e">
        <f>AND(List1!E19,"AAAAAG3/3ms=")</f>
        <v>#VALUE!</v>
      </c>
      <c r="DE1">
        <f>IF(List1!21:21,"AAAAAG3/3mw=",0)</f>
        <v>0</v>
      </c>
      <c r="DF1" t="e">
        <f>AND(List1!A21,"AAAAAG3/3m0=")</f>
        <v>#VALUE!</v>
      </c>
      <c r="DG1" t="e">
        <f>AND(List1!B21,"AAAAAG3/3m4=")</f>
        <v>#VALUE!</v>
      </c>
      <c r="DH1" t="e">
        <f>AND(List1!C21,"AAAAAG3/3m8=")</f>
        <v>#VALUE!</v>
      </c>
      <c r="DI1" t="e">
        <f>AND(List1!D21,"AAAAAG3/3nA=")</f>
        <v>#VALUE!</v>
      </c>
      <c r="DJ1" t="e">
        <f>AND(List1!E21,"AAAAAG3/3nE=")</f>
        <v>#VALUE!</v>
      </c>
      <c r="DK1">
        <f>IF(List1!22:22,"AAAAAG3/3nI=",0)</f>
        <v>0</v>
      </c>
      <c r="DL1" t="e">
        <f>AND(List1!A22,"AAAAAG3/3nM=")</f>
        <v>#VALUE!</v>
      </c>
      <c r="DM1" t="e">
        <f>AND(List1!B22,"AAAAAG3/3nQ=")</f>
        <v>#VALUE!</v>
      </c>
      <c r="DN1" t="e">
        <f>AND(List1!C22,"AAAAAG3/3nU=")</f>
        <v>#VALUE!</v>
      </c>
      <c r="DO1" t="e">
        <f>AND(List1!D22,"AAAAAG3/3nY=")</f>
        <v>#VALUE!</v>
      </c>
      <c r="DP1" t="e">
        <f>AND(List1!E22,"AAAAAG3/3nc=")</f>
        <v>#VALUE!</v>
      </c>
      <c r="DQ1">
        <f>IF(List1!23:23,"AAAAAG3/3ng=",0)</f>
        <v>0</v>
      </c>
      <c r="DR1" t="e">
        <f>AND(List1!A23,"AAAAAG3/3nk=")</f>
        <v>#VALUE!</v>
      </c>
      <c r="DS1" t="e">
        <f>AND(List1!B23,"AAAAAG3/3no=")</f>
        <v>#VALUE!</v>
      </c>
      <c r="DT1" t="e">
        <f>AND(List1!C23,"AAAAAG3/3ns=")</f>
        <v>#VALUE!</v>
      </c>
      <c r="DU1" t="e">
        <f>AND(List1!D23,"AAAAAG3/3nw=")</f>
        <v>#VALUE!</v>
      </c>
      <c r="DV1" t="e">
        <f>AND(List1!E23,"AAAAAG3/3n0=")</f>
        <v>#VALUE!</v>
      </c>
      <c r="DW1">
        <f>IF(List1!24:24,"AAAAAG3/3n4=",0)</f>
        <v>0</v>
      </c>
      <c r="DX1" t="e">
        <f>AND(List1!A24,"AAAAAG3/3n8=")</f>
        <v>#VALUE!</v>
      </c>
      <c r="DY1" t="e">
        <f>AND(List1!B24,"AAAAAG3/3oA=")</f>
        <v>#VALUE!</v>
      </c>
      <c r="DZ1" t="e">
        <f>AND(List1!C24,"AAAAAG3/3oE=")</f>
        <v>#VALUE!</v>
      </c>
      <c r="EA1" t="e">
        <f>AND(List1!D24,"AAAAAG3/3oI=")</f>
        <v>#VALUE!</v>
      </c>
      <c r="EB1" t="e">
        <f>AND(List1!E24,"AAAAAG3/3oM=")</f>
        <v>#VALUE!</v>
      </c>
      <c r="EC1">
        <f>IF(List1!25:25,"AAAAAG3/3oQ=",0)</f>
        <v>0</v>
      </c>
      <c r="ED1" t="e">
        <f>AND(List1!A25,"AAAAAG3/3oU=")</f>
        <v>#VALUE!</v>
      </c>
      <c r="EE1" t="e">
        <f>AND(List1!B25,"AAAAAG3/3oY=")</f>
        <v>#VALUE!</v>
      </c>
      <c r="EF1" t="e">
        <f>AND(List1!C25,"AAAAAG3/3oc=")</f>
        <v>#VALUE!</v>
      </c>
      <c r="EG1" t="e">
        <f>AND(List1!D25,"AAAAAG3/3og=")</f>
        <v>#VALUE!</v>
      </c>
      <c r="EH1" t="e">
        <f>AND(List1!E25,"AAAAAG3/3ok=")</f>
        <v>#VALUE!</v>
      </c>
      <c r="EI1">
        <f>IF(List1!26:26,"AAAAAG3/3oo=",0)</f>
        <v>0</v>
      </c>
      <c r="EJ1" t="e">
        <f>AND(List1!A26,"AAAAAG3/3os=")</f>
        <v>#VALUE!</v>
      </c>
      <c r="EK1" t="e">
        <f>AND(List1!B26,"AAAAAG3/3ow=")</f>
        <v>#VALUE!</v>
      </c>
      <c r="EL1" t="e">
        <f>AND(List1!C26,"AAAAAG3/3o0=")</f>
        <v>#VALUE!</v>
      </c>
      <c r="EM1" t="e">
        <f>AND(List1!D26,"AAAAAG3/3o4=")</f>
        <v>#VALUE!</v>
      </c>
      <c r="EN1" t="e">
        <f>AND(List1!E26,"AAAAAG3/3o8=")</f>
        <v>#VALUE!</v>
      </c>
      <c r="EO1">
        <f>IF(List1!27:27,"AAAAAG3/3pA=",0)</f>
        <v>0</v>
      </c>
      <c r="EP1" t="e">
        <f>AND(List1!A27,"AAAAAG3/3pE=")</f>
        <v>#VALUE!</v>
      </c>
      <c r="EQ1" t="e">
        <f>AND(List1!B27,"AAAAAG3/3pI=")</f>
        <v>#VALUE!</v>
      </c>
      <c r="ER1" t="e">
        <f>AND(List1!C27,"AAAAAG3/3pM=")</f>
        <v>#VALUE!</v>
      </c>
      <c r="ES1" t="e">
        <f>AND(List1!D27,"AAAAAG3/3pQ=")</f>
        <v>#VALUE!</v>
      </c>
      <c r="ET1" t="e">
        <f>AND(List1!E27,"AAAAAG3/3pU=")</f>
        <v>#VALUE!</v>
      </c>
      <c r="EU1" t="e">
        <f>IF(List1!#REF!,"AAAAAG3/3pY=",0)</f>
        <v>#REF!</v>
      </c>
      <c r="EV1" t="e">
        <f>AND(List1!#REF!,"AAAAAG3/3pc=")</f>
        <v>#REF!</v>
      </c>
      <c r="EW1" t="e">
        <f>AND(List1!#REF!,"AAAAAG3/3pg=")</f>
        <v>#REF!</v>
      </c>
      <c r="EX1" t="e">
        <f>AND(List1!#REF!,"AAAAAG3/3pk=")</f>
        <v>#REF!</v>
      </c>
      <c r="EY1" t="e">
        <f>AND(List1!#REF!,"AAAAAG3/3po=")</f>
        <v>#REF!</v>
      </c>
      <c r="EZ1" t="e">
        <f>AND(List1!#REF!,"AAAAAG3/3ps=")</f>
        <v>#REF!</v>
      </c>
      <c r="FA1">
        <f>IF(List1!28:28,"AAAAAG3/3pw=",0)</f>
        <v>0</v>
      </c>
      <c r="FB1" t="e">
        <f>AND(List1!A28,"AAAAAG3/3p0=")</f>
        <v>#VALUE!</v>
      </c>
      <c r="FC1" t="e">
        <f>AND(List1!B28,"AAAAAG3/3p4=")</f>
        <v>#VALUE!</v>
      </c>
      <c r="FD1" t="e">
        <f>AND(List1!C28,"AAAAAG3/3p8=")</f>
        <v>#VALUE!</v>
      </c>
      <c r="FE1" t="e">
        <f>AND(List1!D28,"AAAAAG3/3qA=")</f>
        <v>#VALUE!</v>
      </c>
      <c r="FF1" t="e">
        <f>AND(List1!E28,"AAAAAG3/3qE=")</f>
        <v>#VALUE!</v>
      </c>
      <c r="FG1">
        <f>IF(List1!29:29,"AAAAAG3/3qI=",0)</f>
        <v>0</v>
      </c>
      <c r="FH1" t="e">
        <f>AND(List1!A29,"AAAAAG3/3qM=")</f>
        <v>#VALUE!</v>
      </c>
      <c r="FI1" t="e">
        <f>AND(List1!B29,"AAAAAG3/3qQ=")</f>
        <v>#VALUE!</v>
      </c>
      <c r="FJ1" t="e">
        <f>AND(List1!C29,"AAAAAG3/3qU=")</f>
        <v>#VALUE!</v>
      </c>
      <c r="FK1" t="e">
        <f>AND(List1!D29,"AAAAAG3/3qY=")</f>
        <v>#VALUE!</v>
      </c>
      <c r="FL1" t="e">
        <f>AND(List1!E29,"AAAAAG3/3qc=")</f>
        <v>#VALUE!</v>
      </c>
      <c r="FM1">
        <f>IF(List1!30:30,"AAAAAG3/3qg=",0)</f>
        <v>0</v>
      </c>
      <c r="FN1" t="e">
        <f>AND(List1!A30,"AAAAAG3/3qk=")</f>
        <v>#VALUE!</v>
      </c>
      <c r="FO1" t="e">
        <f>AND(List1!B30,"AAAAAG3/3qo=")</f>
        <v>#VALUE!</v>
      </c>
      <c r="FP1" t="e">
        <f>AND(List1!C30,"AAAAAG3/3qs=")</f>
        <v>#VALUE!</v>
      </c>
      <c r="FQ1" t="e">
        <f>AND(List1!D30,"AAAAAG3/3qw=")</f>
        <v>#VALUE!</v>
      </c>
      <c r="FR1" t="e">
        <f>AND(List1!E30,"AAAAAG3/3q0=")</f>
        <v>#VALUE!</v>
      </c>
      <c r="FS1">
        <f>IF(List1!31:31,"AAAAAG3/3q4=",0)</f>
        <v>0</v>
      </c>
      <c r="FT1" t="e">
        <f>AND(List1!A31,"AAAAAG3/3q8=")</f>
        <v>#VALUE!</v>
      </c>
      <c r="FU1" t="e">
        <f>AND(List1!B31,"AAAAAG3/3rA=")</f>
        <v>#VALUE!</v>
      </c>
      <c r="FV1" t="e">
        <f>AND(List1!C31,"AAAAAG3/3rE=")</f>
        <v>#VALUE!</v>
      </c>
      <c r="FW1" t="e">
        <f>AND(List1!D31,"AAAAAG3/3rI=")</f>
        <v>#VALUE!</v>
      </c>
      <c r="FX1" t="e">
        <f>AND(List1!E31,"AAAAAG3/3rM=")</f>
        <v>#VALUE!</v>
      </c>
      <c r="FY1">
        <f>IF(List1!32:32,"AAAAAG3/3rQ=",0)</f>
        <v>0</v>
      </c>
      <c r="FZ1" t="e">
        <f>AND(List1!A32,"AAAAAG3/3rU=")</f>
        <v>#VALUE!</v>
      </c>
      <c r="GA1" t="e">
        <f>AND(List1!B32,"AAAAAG3/3rY=")</f>
        <v>#VALUE!</v>
      </c>
      <c r="GB1" t="e">
        <f>AND(List1!C32,"AAAAAG3/3rc=")</f>
        <v>#VALUE!</v>
      </c>
      <c r="GC1" t="e">
        <f>AND(List1!D32,"AAAAAG3/3rg=")</f>
        <v>#VALUE!</v>
      </c>
      <c r="GD1" t="e">
        <f>AND(List1!E32,"AAAAAG3/3rk=")</f>
        <v>#VALUE!</v>
      </c>
      <c r="GE1">
        <f>IF(List1!33:33,"AAAAAG3/3ro=",0)</f>
        <v>0</v>
      </c>
      <c r="GF1" t="e">
        <f>AND(List1!A33,"AAAAAG3/3rs=")</f>
        <v>#VALUE!</v>
      </c>
      <c r="GG1" t="e">
        <f>AND(List1!B33,"AAAAAG3/3rw=")</f>
        <v>#VALUE!</v>
      </c>
      <c r="GH1" t="e">
        <f>AND(List1!C33,"AAAAAG3/3r0=")</f>
        <v>#VALUE!</v>
      </c>
      <c r="GI1" t="e">
        <f>AND(List1!D33,"AAAAAG3/3r4=")</f>
        <v>#VALUE!</v>
      </c>
      <c r="GJ1" t="e">
        <f>AND(List1!E33,"AAAAAG3/3r8=")</f>
        <v>#VALUE!</v>
      </c>
      <c r="GK1">
        <f>IF(List1!34:34,"AAAAAG3/3sA=",0)</f>
        <v>0</v>
      </c>
      <c r="GL1" t="e">
        <f>AND(List1!A34,"AAAAAG3/3sE=")</f>
        <v>#VALUE!</v>
      </c>
      <c r="GM1" t="e">
        <f>AND(List1!B34,"AAAAAG3/3sI=")</f>
        <v>#VALUE!</v>
      </c>
      <c r="GN1" t="e">
        <f>AND(List1!C34,"AAAAAG3/3sM=")</f>
        <v>#VALUE!</v>
      </c>
      <c r="GO1" t="e">
        <f>AND(List1!D34,"AAAAAG3/3sQ=")</f>
        <v>#VALUE!</v>
      </c>
      <c r="GP1" t="e">
        <f>AND(List1!E34,"AAAAAG3/3sU=")</f>
        <v>#VALUE!</v>
      </c>
      <c r="GQ1">
        <f>IF(List1!35:35,"AAAAAG3/3sY=",0)</f>
        <v>0</v>
      </c>
      <c r="GR1" t="e">
        <f>AND(List1!A35,"AAAAAG3/3sc=")</f>
        <v>#VALUE!</v>
      </c>
      <c r="GS1" t="e">
        <f>AND(List1!B35,"AAAAAG3/3sg=")</f>
        <v>#VALUE!</v>
      </c>
      <c r="GT1" t="e">
        <f>AND(List1!C35,"AAAAAG3/3sk=")</f>
        <v>#VALUE!</v>
      </c>
      <c r="GU1" t="e">
        <f>AND(List1!D35,"AAAAAG3/3so=")</f>
        <v>#VALUE!</v>
      </c>
      <c r="GV1" t="e">
        <f>AND(List1!E35,"AAAAAG3/3ss=")</f>
        <v>#VALUE!</v>
      </c>
      <c r="GW1">
        <f>IF(List1!36:36,"AAAAAG3/3sw=",0)</f>
        <v>0</v>
      </c>
      <c r="GX1" t="e">
        <f>AND(List1!A36,"AAAAAG3/3s0=")</f>
        <v>#VALUE!</v>
      </c>
      <c r="GY1" t="e">
        <f>AND(List1!B36,"AAAAAG3/3s4=")</f>
        <v>#VALUE!</v>
      </c>
      <c r="GZ1" t="e">
        <f>AND(List1!C36,"AAAAAG3/3s8=")</f>
        <v>#VALUE!</v>
      </c>
      <c r="HA1" t="e">
        <f>AND(List1!D36,"AAAAAG3/3tA=")</f>
        <v>#VALUE!</v>
      </c>
      <c r="HB1" t="e">
        <f>AND(List1!E36,"AAAAAG3/3tE=")</f>
        <v>#VALUE!</v>
      </c>
      <c r="HC1">
        <f>IF(List1!37:37,"AAAAAG3/3tI=",0)</f>
        <v>0</v>
      </c>
      <c r="HD1" t="e">
        <f>AND(List1!A37,"AAAAAG3/3tM=")</f>
        <v>#VALUE!</v>
      </c>
      <c r="HE1" t="e">
        <f>AND(List1!B37,"AAAAAG3/3tQ=")</f>
        <v>#VALUE!</v>
      </c>
      <c r="HF1" t="e">
        <f>AND(List1!C37,"AAAAAG3/3tU=")</f>
        <v>#VALUE!</v>
      </c>
      <c r="HG1" t="e">
        <f>AND(List1!D37,"AAAAAG3/3tY=")</f>
        <v>#VALUE!</v>
      </c>
      <c r="HH1" t="e">
        <f>AND(List1!E37,"AAAAAG3/3tc=")</f>
        <v>#VALUE!</v>
      </c>
      <c r="HI1" t="e">
        <f>IF(List1!#REF!,"AAAAAG3/3tg=",0)</f>
        <v>#REF!</v>
      </c>
      <c r="HJ1" t="e">
        <f>AND(List1!#REF!,"AAAAAG3/3tk=")</f>
        <v>#REF!</v>
      </c>
      <c r="HK1" t="e">
        <f>AND(List1!#REF!,"AAAAAG3/3to=")</f>
        <v>#REF!</v>
      </c>
      <c r="HL1" t="e">
        <f>AND(List1!#REF!,"AAAAAG3/3ts=")</f>
        <v>#REF!</v>
      </c>
      <c r="HM1" t="e">
        <f>AND(List1!#REF!,"AAAAAG3/3tw=")</f>
        <v>#REF!</v>
      </c>
      <c r="HN1" t="e">
        <f>AND(List1!#REF!,"AAAAAG3/3t0=")</f>
        <v>#REF!</v>
      </c>
      <c r="HO1">
        <f>IF(List1!38:38,"AAAAAG3/3t4=",0)</f>
        <v>0</v>
      </c>
      <c r="HP1" t="e">
        <f>AND(List1!A38,"AAAAAG3/3t8=")</f>
        <v>#VALUE!</v>
      </c>
      <c r="HQ1" t="e">
        <f>AND(List1!B38,"AAAAAG3/3uA=")</f>
        <v>#VALUE!</v>
      </c>
      <c r="HR1" t="e">
        <f>AND(List1!C38,"AAAAAG3/3uE=")</f>
        <v>#VALUE!</v>
      </c>
      <c r="HS1" t="e">
        <f>AND(List1!D38,"AAAAAG3/3uI=")</f>
        <v>#VALUE!</v>
      </c>
      <c r="HT1" t="e">
        <f>AND(List1!E38,"AAAAAG3/3uM=")</f>
        <v>#VALUE!</v>
      </c>
      <c r="HU1">
        <f>IF(List1!39:39,"AAAAAG3/3uQ=",0)</f>
        <v>0</v>
      </c>
      <c r="HV1" t="e">
        <f>AND(List1!A39,"AAAAAG3/3uU=")</f>
        <v>#VALUE!</v>
      </c>
      <c r="HW1" t="e">
        <f>AND(List1!B39,"AAAAAG3/3uY=")</f>
        <v>#VALUE!</v>
      </c>
      <c r="HX1" t="e">
        <f>AND(List1!C39,"AAAAAG3/3uc=")</f>
        <v>#VALUE!</v>
      </c>
      <c r="HY1" t="e">
        <f>AND(List1!D39,"AAAAAG3/3ug=")</f>
        <v>#VALUE!</v>
      </c>
      <c r="HZ1" t="e">
        <f>AND(List1!E39,"AAAAAG3/3uk=")</f>
        <v>#VALUE!</v>
      </c>
      <c r="IA1">
        <f>IF(List1!40:40,"AAAAAG3/3uo=",0)</f>
        <v>0</v>
      </c>
      <c r="IB1" t="e">
        <f>AND(List1!A40,"AAAAAG3/3us=")</f>
        <v>#VALUE!</v>
      </c>
      <c r="IC1" t="e">
        <f>AND(List1!B40,"AAAAAG3/3uw=")</f>
        <v>#VALUE!</v>
      </c>
      <c r="ID1" t="e">
        <f>AND(List1!C40,"AAAAAG3/3u0=")</f>
        <v>#VALUE!</v>
      </c>
      <c r="IE1" t="e">
        <f>AND(List1!D40,"AAAAAG3/3u4=")</f>
        <v>#VALUE!</v>
      </c>
      <c r="IF1" t="e">
        <f>AND(List1!E40,"AAAAAG3/3u8=")</f>
        <v>#VALUE!</v>
      </c>
      <c r="IG1">
        <f>IF(List1!41:41,"AAAAAG3/3vA=",0)</f>
        <v>0</v>
      </c>
      <c r="IH1" t="e">
        <f>AND(List1!A41,"AAAAAG3/3vE=")</f>
        <v>#VALUE!</v>
      </c>
      <c r="II1" t="e">
        <f>AND(List1!B41,"AAAAAG3/3vI=")</f>
        <v>#VALUE!</v>
      </c>
      <c r="IJ1" t="e">
        <f>AND(List1!C41,"AAAAAG3/3vM=")</f>
        <v>#VALUE!</v>
      </c>
      <c r="IK1" t="e">
        <f>AND(List1!D41,"AAAAAG3/3vQ=")</f>
        <v>#VALUE!</v>
      </c>
      <c r="IL1" t="e">
        <f>AND(List1!E41,"AAAAAG3/3vU=")</f>
        <v>#VALUE!</v>
      </c>
      <c r="IM1">
        <f>IF(List1!42:42,"AAAAAG3/3vY=",0)</f>
        <v>0</v>
      </c>
      <c r="IN1" t="e">
        <f>AND(List1!A42,"AAAAAG3/3vc=")</f>
        <v>#VALUE!</v>
      </c>
      <c r="IO1" t="e">
        <f>AND(List1!B42,"AAAAAG3/3vg=")</f>
        <v>#VALUE!</v>
      </c>
      <c r="IP1" t="e">
        <f>AND(List1!C42,"AAAAAG3/3vk=")</f>
        <v>#VALUE!</v>
      </c>
      <c r="IQ1" t="e">
        <f>AND(List1!D42,"AAAAAG3/3vo=")</f>
        <v>#VALUE!</v>
      </c>
      <c r="IR1" t="e">
        <f>AND(List1!E42,"AAAAAG3/3vs=")</f>
        <v>#VALUE!</v>
      </c>
      <c r="IS1">
        <f>IF(List1!43:43,"AAAAAG3/3vw=",0)</f>
        <v>0</v>
      </c>
      <c r="IT1" t="e">
        <f>AND(List1!A43,"AAAAAG3/3v0=")</f>
        <v>#VALUE!</v>
      </c>
      <c r="IU1" t="e">
        <f>AND(List1!B43,"AAAAAG3/3v4=")</f>
        <v>#VALUE!</v>
      </c>
      <c r="IV1" t="e">
        <f>AND(List1!C43,"AAAAAG3/3v8=")</f>
        <v>#VALUE!</v>
      </c>
    </row>
    <row r="2" spans="1:256" ht="12.75">
      <c r="A2" t="e">
        <f>AND(List1!D43,"AAAAAH//dwA=")</f>
        <v>#VALUE!</v>
      </c>
      <c r="B2" t="e">
        <f>AND(List1!E43,"AAAAAH//dwE=")</f>
        <v>#VALUE!</v>
      </c>
      <c r="C2" t="str">
        <f>IF(List1!44:44,"AAAAAH//dwI=",0)</f>
        <v>AAAAAH//dwI=</v>
      </c>
      <c r="D2" t="e">
        <f>AND(List1!A44,"AAAAAH//dwM=")</f>
        <v>#VALUE!</v>
      </c>
      <c r="E2" t="e">
        <f>AND(List1!B44,"AAAAAH//dwQ=")</f>
        <v>#VALUE!</v>
      </c>
      <c r="F2" t="e">
        <f>AND(List1!C44,"AAAAAH//dwU=")</f>
        <v>#VALUE!</v>
      </c>
      <c r="G2" t="e">
        <f>AND(List1!D44,"AAAAAH//dwY=")</f>
        <v>#VALUE!</v>
      </c>
      <c r="H2" t="e">
        <f>AND(List1!E44,"AAAAAH//dwc=")</f>
        <v>#VALUE!</v>
      </c>
      <c r="I2">
        <f>IF(List1!46:46,"AAAAAH//dwg=",0)</f>
        <v>0</v>
      </c>
      <c r="J2" t="e">
        <f>AND(List1!A46,"AAAAAH//dwk=")</f>
        <v>#VALUE!</v>
      </c>
      <c r="K2" t="e">
        <f>AND(List1!B46,"AAAAAH//dwo=")</f>
        <v>#VALUE!</v>
      </c>
      <c r="L2" t="e">
        <f>AND(List1!C46,"AAAAAH//dws=")</f>
        <v>#VALUE!</v>
      </c>
      <c r="M2" t="e">
        <f>AND(List1!D46,"AAAAAH//dww=")</f>
        <v>#VALUE!</v>
      </c>
      <c r="N2" t="e">
        <f>AND(List1!E46,"AAAAAH//dw0=")</f>
        <v>#VALUE!</v>
      </c>
      <c r="O2">
        <f>IF(List1!47:47,"AAAAAH//dw4=",0)</f>
        <v>0</v>
      </c>
      <c r="P2" t="e">
        <f>AND(List1!A47,"AAAAAH//dw8=")</f>
        <v>#VALUE!</v>
      </c>
      <c r="Q2" t="e">
        <f>AND(List1!B47,"AAAAAH//dxA=")</f>
        <v>#VALUE!</v>
      </c>
      <c r="R2" t="e">
        <f>AND(List1!C47,"AAAAAH//dxE=")</f>
        <v>#VALUE!</v>
      </c>
      <c r="S2" t="e">
        <f>AND(List1!D47,"AAAAAH//dxI=")</f>
        <v>#VALUE!</v>
      </c>
      <c r="T2" t="e">
        <f>AND(List1!E47,"AAAAAH//dxM=")</f>
        <v>#VALUE!</v>
      </c>
      <c r="U2">
        <f>IF(List1!48:48,"AAAAAH//dxQ=",0)</f>
        <v>0</v>
      </c>
      <c r="V2" t="e">
        <f>AND(List1!A48,"AAAAAH//dxU=")</f>
        <v>#VALUE!</v>
      </c>
      <c r="W2" t="e">
        <f>AND(List1!B48,"AAAAAH//dxY=")</f>
        <v>#VALUE!</v>
      </c>
      <c r="X2" t="e">
        <f>AND(List1!C48,"AAAAAH//dxc=")</f>
        <v>#VALUE!</v>
      </c>
      <c r="Y2" t="e">
        <f>AND(List1!D48,"AAAAAH//dxg=")</f>
        <v>#VALUE!</v>
      </c>
      <c r="Z2" t="e">
        <f>AND(List1!E48,"AAAAAH//dxk=")</f>
        <v>#VALUE!</v>
      </c>
      <c r="AA2">
        <f>IF(List1!49:49,"AAAAAH//dxo=",0)</f>
        <v>0</v>
      </c>
      <c r="AB2" t="e">
        <f>AND(List1!A49,"AAAAAH//dxs=")</f>
        <v>#VALUE!</v>
      </c>
      <c r="AC2" t="e">
        <f>AND(List1!B49,"AAAAAH//dxw=")</f>
        <v>#VALUE!</v>
      </c>
      <c r="AD2" t="e">
        <f>AND(List1!C49,"AAAAAH//dx0=")</f>
        <v>#VALUE!</v>
      </c>
      <c r="AE2" t="e">
        <f>AND(List1!D49,"AAAAAH//dx4=")</f>
        <v>#VALUE!</v>
      </c>
      <c r="AF2" t="e">
        <f>AND(List1!E49,"AAAAAH//dx8=")</f>
        <v>#VALUE!</v>
      </c>
      <c r="AG2">
        <f>IF(List1!50:50,"AAAAAH//dyA=",0)</f>
        <v>0</v>
      </c>
      <c r="AH2" t="e">
        <f>AND(List1!A50,"AAAAAH//dyE=")</f>
        <v>#VALUE!</v>
      </c>
      <c r="AI2" t="e">
        <f>AND(List1!B50,"AAAAAH//dyI=")</f>
        <v>#VALUE!</v>
      </c>
      <c r="AJ2" t="e">
        <f>AND(List1!C50,"AAAAAH//dyM=")</f>
        <v>#VALUE!</v>
      </c>
      <c r="AK2" t="e">
        <f>AND(List1!D50,"AAAAAH//dyQ=")</f>
        <v>#VALUE!</v>
      </c>
      <c r="AL2" t="e">
        <f>AND(List1!E50,"AAAAAH//dyU=")</f>
        <v>#VALUE!</v>
      </c>
      <c r="AM2">
        <f>IF(List1!51:51,"AAAAAH//dyY=",0)</f>
        <v>0</v>
      </c>
      <c r="AN2" t="e">
        <f>AND(List1!A51,"AAAAAH//dyc=")</f>
        <v>#VALUE!</v>
      </c>
      <c r="AO2" t="e">
        <f>AND(List1!B51,"AAAAAH//dyg=")</f>
        <v>#VALUE!</v>
      </c>
      <c r="AP2" t="e">
        <f>AND(List1!C51,"AAAAAH//dyk=")</f>
        <v>#VALUE!</v>
      </c>
      <c r="AQ2" t="e">
        <f>AND(List1!D51,"AAAAAH//dyo=")</f>
        <v>#VALUE!</v>
      </c>
      <c r="AR2" t="e">
        <f>AND(List1!E51,"AAAAAH//dys=")</f>
        <v>#VALUE!</v>
      </c>
      <c r="AS2">
        <f>IF(List1!52:52,"AAAAAH//dyw=",0)</f>
        <v>0</v>
      </c>
      <c r="AT2" t="e">
        <f>AND(List1!A52,"AAAAAH//dy0=")</f>
        <v>#VALUE!</v>
      </c>
      <c r="AU2" t="e">
        <f>AND(List1!B52,"AAAAAH//dy4=")</f>
        <v>#VALUE!</v>
      </c>
      <c r="AV2" t="e">
        <f>AND(List1!C52,"AAAAAH//dy8=")</f>
        <v>#VALUE!</v>
      </c>
      <c r="AW2" t="e">
        <f>AND(List1!D52,"AAAAAH//dzA=")</f>
        <v>#VALUE!</v>
      </c>
      <c r="AX2" t="e">
        <f>AND(List1!E52,"AAAAAH//dzE=")</f>
        <v>#VALUE!</v>
      </c>
      <c r="AY2">
        <f>IF(List1!53:53,"AAAAAH//dzI=",0)</f>
        <v>0</v>
      </c>
      <c r="AZ2" t="e">
        <f>AND(List1!A53,"AAAAAH//dzM=")</f>
        <v>#VALUE!</v>
      </c>
      <c r="BA2" t="e">
        <f>AND(List1!B53,"AAAAAH//dzQ=")</f>
        <v>#VALUE!</v>
      </c>
      <c r="BB2" t="e">
        <f>AND(List1!C53,"AAAAAH//dzU=")</f>
        <v>#VALUE!</v>
      </c>
      <c r="BC2" t="e">
        <f>AND(List1!D53,"AAAAAH//dzY=")</f>
        <v>#VALUE!</v>
      </c>
      <c r="BD2" t="e">
        <f>AND(List1!E53,"AAAAAH//dzc=")</f>
        <v>#VALUE!</v>
      </c>
      <c r="BE2">
        <f>IF(List1!54:54,"AAAAAH//dzg=",0)</f>
        <v>0</v>
      </c>
      <c r="BF2" t="e">
        <f>AND(List1!A54,"AAAAAH//dzk=")</f>
        <v>#VALUE!</v>
      </c>
      <c r="BG2" t="e">
        <f>AND(List1!B54,"AAAAAH//dzo=")</f>
        <v>#VALUE!</v>
      </c>
      <c r="BH2" t="e">
        <f>AND(List1!C54,"AAAAAH//dzs=")</f>
        <v>#VALUE!</v>
      </c>
      <c r="BI2" t="e">
        <f>AND(List1!D54,"AAAAAH//dzw=")</f>
        <v>#VALUE!</v>
      </c>
      <c r="BJ2" t="e">
        <f>AND(List1!E54,"AAAAAH//dz0=")</f>
        <v>#VALUE!</v>
      </c>
      <c r="BK2">
        <f>IF(List1!55:55,"AAAAAH//dz4=",0)</f>
        <v>0</v>
      </c>
      <c r="BL2" t="e">
        <f>AND(List1!A55,"AAAAAH//dz8=")</f>
        <v>#VALUE!</v>
      </c>
      <c r="BM2" t="e">
        <f>AND(List1!B55,"AAAAAH//d0A=")</f>
        <v>#VALUE!</v>
      </c>
      <c r="BN2" t="e">
        <f>AND(List1!C55,"AAAAAH//d0E=")</f>
        <v>#VALUE!</v>
      </c>
      <c r="BO2" t="e">
        <f>AND(List1!D55,"AAAAAH//d0I=")</f>
        <v>#VALUE!</v>
      </c>
      <c r="BP2" t="e">
        <f>AND(List1!E55,"AAAAAH//d0M=")</f>
        <v>#VALUE!</v>
      </c>
      <c r="BQ2">
        <f>IF(List1!56:56,"AAAAAH//d0Q=",0)</f>
        <v>0</v>
      </c>
      <c r="BR2" t="e">
        <f>AND(List1!A56,"AAAAAH//d0U=")</f>
        <v>#VALUE!</v>
      </c>
      <c r="BS2" t="e">
        <f>AND(List1!B56,"AAAAAH//d0Y=")</f>
        <v>#VALUE!</v>
      </c>
      <c r="BT2" t="e">
        <f>AND(List1!C56,"AAAAAH//d0c=")</f>
        <v>#VALUE!</v>
      </c>
      <c r="BU2" t="e">
        <f>AND(List1!D56,"AAAAAH//d0g=")</f>
        <v>#VALUE!</v>
      </c>
      <c r="BV2" t="e">
        <f>AND(List1!E56,"AAAAAH//d0k=")</f>
        <v>#VALUE!</v>
      </c>
      <c r="BW2">
        <f>IF(List1!57:57,"AAAAAH//d0o=",0)</f>
        <v>0</v>
      </c>
      <c r="BX2" t="e">
        <f>AND(List1!A57,"AAAAAH//d0s=")</f>
        <v>#VALUE!</v>
      </c>
      <c r="BY2" t="e">
        <f>AND(List1!B57,"AAAAAH//d0w=")</f>
        <v>#VALUE!</v>
      </c>
      <c r="BZ2" t="e">
        <f>AND(List1!C57,"AAAAAH//d00=")</f>
        <v>#VALUE!</v>
      </c>
      <c r="CA2" t="e">
        <f>AND(List1!D57,"AAAAAH//d04=")</f>
        <v>#VALUE!</v>
      </c>
      <c r="CB2" t="e">
        <f>AND(List1!E57,"AAAAAH//d08=")</f>
        <v>#VALUE!</v>
      </c>
      <c r="CC2">
        <f>IF(List1!58:58,"AAAAAH//d1A=",0)</f>
        <v>0</v>
      </c>
      <c r="CD2" t="e">
        <f>AND(List1!A58,"AAAAAH//d1E=")</f>
        <v>#VALUE!</v>
      </c>
      <c r="CE2" t="e">
        <f>AND(List1!B58,"AAAAAH//d1I=")</f>
        <v>#VALUE!</v>
      </c>
      <c r="CF2" t="e">
        <f>AND(List1!C58,"AAAAAH//d1M=")</f>
        <v>#VALUE!</v>
      </c>
      <c r="CG2" t="e">
        <f>AND(List1!D58,"AAAAAH//d1Q=")</f>
        <v>#VALUE!</v>
      </c>
      <c r="CH2" t="e">
        <f>AND(List1!E58,"AAAAAH//d1U=")</f>
        <v>#VALUE!</v>
      </c>
      <c r="CI2">
        <f>IF(List1!59:59,"AAAAAH//d1Y=",0)</f>
        <v>0</v>
      </c>
      <c r="CJ2" t="e">
        <f>AND(List1!A59,"AAAAAH//d1c=")</f>
        <v>#VALUE!</v>
      </c>
      <c r="CK2" t="e">
        <f>AND(List1!B59,"AAAAAH//d1g=")</f>
        <v>#VALUE!</v>
      </c>
      <c r="CL2" t="e">
        <f>AND(List1!C59,"AAAAAH//d1k=")</f>
        <v>#VALUE!</v>
      </c>
      <c r="CM2" t="e">
        <f>AND(List1!D59,"AAAAAH//d1o=")</f>
        <v>#VALUE!</v>
      </c>
      <c r="CN2" t="e">
        <f>AND(List1!E59,"AAAAAH//d1s=")</f>
        <v>#VALUE!</v>
      </c>
      <c r="CO2">
        <f>IF(List1!60:60,"AAAAAH//d1w=",0)</f>
        <v>0</v>
      </c>
      <c r="CP2" t="e">
        <f>AND(List1!A60,"AAAAAH//d10=")</f>
        <v>#VALUE!</v>
      </c>
      <c r="CQ2" t="e">
        <f>AND(List1!B60,"AAAAAH//d14=")</f>
        <v>#VALUE!</v>
      </c>
      <c r="CR2" t="e">
        <f>AND(List1!C60,"AAAAAH//d18=")</f>
        <v>#VALUE!</v>
      </c>
      <c r="CS2" t="e">
        <f>AND(List1!D60,"AAAAAH//d2A=")</f>
        <v>#VALUE!</v>
      </c>
      <c r="CT2" t="e">
        <f>AND(List1!E60,"AAAAAH//d2E=")</f>
        <v>#VALUE!</v>
      </c>
      <c r="CU2">
        <f>IF(List1!61:61,"AAAAAH//d2I=",0)</f>
        <v>0</v>
      </c>
      <c r="CV2" t="e">
        <f>AND(List1!A61,"AAAAAH//d2M=")</f>
        <v>#VALUE!</v>
      </c>
      <c r="CW2" t="e">
        <f>AND(List1!B61,"AAAAAH//d2Q=")</f>
        <v>#VALUE!</v>
      </c>
      <c r="CX2" t="e">
        <f>AND(List1!C61,"AAAAAH//d2U=")</f>
        <v>#VALUE!</v>
      </c>
      <c r="CY2" t="e">
        <f>AND(List1!D61,"AAAAAH//d2Y=")</f>
        <v>#VALUE!</v>
      </c>
      <c r="CZ2" t="e">
        <f>AND(List1!E61,"AAAAAH//d2c=")</f>
        <v>#VALUE!</v>
      </c>
      <c r="DA2">
        <f>IF(List1!62:62,"AAAAAH//d2g=",0)</f>
        <v>0</v>
      </c>
      <c r="DB2" t="e">
        <f>AND(List1!A62,"AAAAAH//d2k=")</f>
        <v>#VALUE!</v>
      </c>
      <c r="DC2" t="e">
        <f>AND(List1!B62,"AAAAAH//d2o=")</f>
        <v>#VALUE!</v>
      </c>
      <c r="DD2" t="e">
        <f>AND(List1!C62,"AAAAAH//d2s=")</f>
        <v>#VALUE!</v>
      </c>
      <c r="DE2" t="e">
        <f>AND(List1!D62,"AAAAAH//d2w=")</f>
        <v>#VALUE!</v>
      </c>
      <c r="DF2" t="e">
        <f>AND(List1!E62,"AAAAAH//d20=")</f>
        <v>#VALUE!</v>
      </c>
      <c r="DG2">
        <f>IF(List1!63:63,"AAAAAH//d24=",0)</f>
        <v>0</v>
      </c>
      <c r="DH2" t="e">
        <f>AND(List1!A63,"AAAAAH//d28=")</f>
        <v>#VALUE!</v>
      </c>
      <c r="DI2" t="e">
        <f>AND(List1!B63,"AAAAAH//d3A=")</f>
        <v>#VALUE!</v>
      </c>
      <c r="DJ2" t="e">
        <f>AND(List1!C63,"AAAAAH//d3E=")</f>
        <v>#VALUE!</v>
      </c>
      <c r="DK2" t="e">
        <f>AND(List1!D63,"AAAAAH//d3I=")</f>
        <v>#VALUE!</v>
      </c>
      <c r="DL2" t="e">
        <f>AND(List1!E63,"AAAAAH//d3M=")</f>
        <v>#VALUE!</v>
      </c>
      <c r="DM2">
        <f>IF(List1!64:64,"AAAAAH//d3Q=",0)</f>
        <v>0</v>
      </c>
      <c r="DN2" t="e">
        <f>AND(List1!A64,"AAAAAH//d3U=")</f>
        <v>#VALUE!</v>
      </c>
      <c r="DO2" t="e">
        <f>AND(List1!B64,"AAAAAH//d3Y=")</f>
        <v>#VALUE!</v>
      </c>
      <c r="DP2" t="e">
        <f>AND(List1!C64,"AAAAAH//d3c=")</f>
        <v>#VALUE!</v>
      </c>
      <c r="DQ2" t="e">
        <f>AND(List1!D64,"AAAAAH//d3g=")</f>
        <v>#VALUE!</v>
      </c>
      <c r="DR2" t="e">
        <f>AND(List1!E64,"AAAAAH//d3k=")</f>
        <v>#VALUE!</v>
      </c>
      <c r="DS2">
        <f>IF(List1!65:65,"AAAAAH//d3o=",0)</f>
        <v>0</v>
      </c>
      <c r="DT2" t="e">
        <f>AND(List1!A65,"AAAAAH//d3s=")</f>
        <v>#VALUE!</v>
      </c>
      <c r="DU2" t="e">
        <f>AND(List1!B65,"AAAAAH//d3w=")</f>
        <v>#VALUE!</v>
      </c>
      <c r="DV2" t="e">
        <f>AND(List1!C65,"AAAAAH//d30=")</f>
        <v>#VALUE!</v>
      </c>
      <c r="DW2" t="e">
        <f>AND(List1!D65,"AAAAAH//d34=")</f>
        <v>#VALUE!</v>
      </c>
      <c r="DX2" t="e">
        <f>AND(List1!E65,"AAAAAH//d38=")</f>
        <v>#VALUE!</v>
      </c>
      <c r="DY2">
        <f>IF(List1!66:66,"AAAAAH//d4A=",0)</f>
        <v>0</v>
      </c>
      <c r="DZ2" t="e">
        <f>AND(List1!A66,"AAAAAH//d4E=")</f>
        <v>#VALUE!</v>
      </c>
      <c r="EA2" t="e">
        <f>AND(List1!B66,"AAAAAH//d4I=")</f>
        <v>#VALUE!</v>
      </c>
      <c r="EB2" t="e">
        <f>AND(List1!C66,"AAAAAH//d4M=")</f>
        <v>#VALUE!</v>
      </c>
      <c r="EC2" t="e">
        <f>AND(List1!D66,"AAAAAH//d4Q=")</f>
        <v>#VALUE!</v>
      </c>
      <c r="ED2" t="e">
        <f>AND(List1!E66,"AAAAAH//d4U=")</f>
        <v>#VALUE!</v>
      </c>
      <c r="EE2">
        <f>IF(List1!67:67,"AAAAAH//d4Y=",0)</f>
        <v>0</v>
      </c>
      <c r="EF2" t="e">
        <f>AND(List1!A67,"AAAAAH//d4c=")</f>
        <v>#VALUE!</v>
      </c>
      <c r="EG2" t="e">
        <f>AND(List1!B67,"AAAAAH//d4g=")</f>
        <v>#VALUE!</v>
      </c>
      <c r="EH2" t="e">
        <f>AND(List1!C67,"AAAAAH//d4k=")</f>
        <v>#VALUE!</v>
      </c>
      <c r="EI2" t="e">
        <f>AND(List1!D67,"AAAAAH//d4o=")</f>
        <v>#VALUE!</v>
      </c>
      <c r="EJ2" t="e">
        <f>AND(List1!E67,"AAAAAH//d4s=")</f>
        <v>#VALUE!</v>
      </c>
      <c r="EK2">
        <f>IF(List1!68:68,"AAAAAH//d4w=",0)</f>
        <v>0</v>
      </c>
      <c r="EL2" t="e">
        <f>AND(List1!A68,"AAAAAH//d40=")</f>
        <v>#VALUE!</v>
      </c>
      <c r="EM2" t="e">
        <f>AND(List1!B68,"AAAAAH//d44=")</f>
        <v>#VALUE!</v>
      </c>
      <c r="EN2" t="e">
        <f>AND(List1!C68,"AAAAAH//d48=")</f>
        <v>#VALUE!</v>
      </c>
      <c r="EO2" t="e">
        <f>AND(List1!D68,"AAAAAH//d5A=")</f>
        <v>#VALUE!</v>
      </c>
      <c r="EP2" t="e">
        <f>AND(List1!E68,"AAAAAH//d5E=")</f>
        <v>#VALUE!</v>
      </c>
      <c r="EQ2">
        <f>IF(List1!69:69,"AAAAAH//d5I=",0)</f>
        <v>0</v>
      </c>
      <c r="ER2" t="e">
        <f>AND(List1!A69,"AAAAAH//d5M=")</f>
        <v>#VALUE!</v>
      </c>
      <c r="ES2" t="e">
        <f>AND(List1!B69,"AAAAAH//d5Q=")</f>
        <v>#VALUE!</v>
      </c>
      <c r="ET2" t="e">
        <f>AND(List1!C69,"AAAAAH//d5U=")</f>
        <v>#VALUE!</v>
      </c>
      <c r="EU2" t="e">
        <f>AND(List1!D69,"AAAAAH//d5Y=")</f>
        <v>#VALUE!</v>
      </c>
      <c r="EV2" t="e">
        <f>AND(List1!E69,"AAAAAH//d5c=")</f>
        <v>#VALUE!</v>
      </c>
      <c r="EW2">
        <f>IF(List1!70:70,"AAAAAH//d5g=",0)</f>
        <v>0</v>
      </c>
      <c r="EX2" t="e">
        <f>AND(List1!A70,"AAAAAH//d5k=")</f>
        <v>#VALUE!</v>
      </c>
      <c r="EY2" t="e">
        <f>AND(List1!B70,"AAAAAH//d5o=")</f>
        <v>#VALUE!</v>
      </c>
      <c r="EZ2" t="e">
        <f>AND(List1!C70,"AAAAAH//d5s=")</f>
        <v>#VALUE!</v>
      </c>
      <c r="FA2" t="e">
        <f>AND(List1!D70,"AAAAAH//d5w=")</f>
        <v>#VALUE!</v>
      </c>
      <c r="FB2" t="e">
        <f>AND(List1!E70,"AAAAAH//d50=")</f>
        <v>#VALUE!</v>
      </c>
      <c r="FC2">
        <f>IF(List1!71:71,"AAAAAH//d54=",0)</f>
        <v>0</v>
      </c>
      <c r="FD2" t="e">
        <f>AND(List1!A71,"AAAAAH//d58=")</f>
        <v>#VALUE!</v>
      </c>
      <c r="FE2" t="e">
        <f>AND(List1!B71,"AAAAAH//d6A=")</f>
        <v>#VALUE!</v>
      </c>
      <c r="FF2" t="e">
        <f>AND(List1!C71,"AAAAAH//d6E=")</f>
        <v>#VALUE!</v>
      </c>
      <c r="FG2" t="e">
        <f>AND(List1!D71,"AAAAAH//d6I=")</f>
        <v>#VALUE!</v>
      </c>
      <c r="FH2" t="e">
        <f>AND(List1!E71,"AAAAAH//d6M=")</f>
        <v>#VALUE!</v>
      </c>
      <c r="FI2">
        <f>IF(List1!72:72,"AAAAAH//d6Q=",0)</f>
        <v>0</v>
      </c>
      <c r="FJ2" t="e">
        <f>AND(List1!A72,"AAAAAH//d6U=")</f>
        <v>#VALUE!</v>
      </c>
      <c r="FK2" t="e">
        <f>AND(List1!B72,"AAAAAH//d6Y=")</f>
        <v>#VALUE!</v>
      </c>
      <c r="FL2" t="e">
        <f>AND(List1!C72,"AAAAAH//d6c=")</f>
        <v>#VALUE!</v>
      </c>
      <c r="FM2" t="e">
        <f>AND(List1!D72,"AAAAAH//d6g=")</f>
        <v>#VALUE!</v>
      </c>
      <c r="FN2" t="e">
        <f>AND(List1!E72,"AAAAAH//d6k=")</f>
        <v>#VALUE!</v>
      </c>
      <c r="FO2">
        <f>IF(List1!73:73,"AAAAAH//d6o=",0)</f>
        <v>0</v>
      </c>
      <c r="FP2" t="e">
        <f>AND(List1!A73,"AAAAAH//d6s=")</f>
        <v>#VALUE!</v>
      </c>
      <c r="FQ2" t="e">
        <f>AND(List1!B73,"AAAAAH//d6w=")</f>
        <v>#VALUE!</v>
      </c>
      <c r="FR2" t="e">
        <f>AND(List1!C73,"AAAAAH//d60=")</f>
        <v>#VALUE!</v>
      </c>
      <c r="FS2" t="e">
        <f>AND(List1!D73,"AAAAAH//d64=")</f>
        <v>#VALUE!</v>
      </c>
      <c r="FT2" t="e">
        <f>AND(List1!E73,"AAAAAH//d68=")</f>
        <v>#VALUE!</v>
      </c>
      <c r="FU2">
        <f>IF(List1!74:74,"AAAAAH//d7A=",0)</f>
        <v>0</v>
      </c>
      <c r="FV2" t="e">
        <f>AND(List1!A74,"AAAAAH//d7E=")</f>
        <v>#VALUE!</v>
      </c>
      <c r="FW2" t="e">
        <f>AND(List1!B74,"AAAAAH//d7I=")</f>
        <v>#VALUE!</v>
      </c>
      <c r="FX2" t="e">
        <f>AND(List1!C74,"AAAAAH//d7M=")</f>
        <v>#VALUE!</v>
      </c>
      <c r="FY2" t="e">
        <f>AND(List1!D74,"AAAAAH//d7Q=")</f>
        <v>#VALUE!</v>
      </c>
      <c r="FZ2" t="e">
        <f>AND(List1!E74,"AAAAAH//d7U=")</f>
        <v>#VALUE!</v>
      </c>
      <c r="GA2">
        <f>IF(List1!75:75,"AAAAAH//d7Y=",0)</f>
        <v>0</v>
      </c>
      <c r="GB2" t="e">
        <f>AND(List1!A75,"AAAAAH//d7c=")</f>
        <v>#VALUE!</v>
      </c>
      <c r="GC2" t="e">
        <f>AND(List1!B75,"AAAAAH//d7g=")</f>
        <v>#VALUE!</v>
      </c>
      <c r="GD2" t="e">
        <f>AND(List1!C75,"AAAAAH//d7k=")</f>
        <v>#VALUE!</v>
      </c>
      <c r="GE2" t="e">
        <f>AND(List1!D75,"AAAAAH//d7o=")</f>
        <v>#VALUE!</v>
      </c>
      <c r="GF2" t="e">
        <f>AND(List1!E75,"AAAAAH//d7s=")</f>
        <v>#VALUE!</v>
      </c>
      <c r="GG2">
        <f>IF(List1!76:76,"AAAAAH//d7w=",0)</f>
        <v>0</v>
      </c>
      <c r="GH2" t="e">
        <f>AND(List1!A76,"AAAAAH//d70=")</f>
        <v>#VALUE!</v>
      </c>
      <c r="GI2" t="e">
        <f>AND(List1!B76,"AAAAAH//d74=")</f>
        <v>#VALUE!</v>
      </c>
      <c r="GJ2" t="e">
        <f>AND(List1!C76,"AAAAAH//d78=")</f>
        <v>#VALUE!</v>
      </c>
      <c r="GK2" t="e">
        <f>AND(List1!D76,"AAAAAH//d8A=")</f>
        <v>#VALUE!</v>
      </c>
      <c r="GL2" t="e">
        <f>AND(List1!E76,"AAAAAH//d8E=")</f>
        <v>#VALUE!</v>
      </c>
      <c r="GM2">
        <f>IF(List1!77:77,"AAAAAH//d8I=",0)</f>
        <v>0</v>
      </c>
      <c r="GN2" t="e">
        <f>AND(List1!A77,"AAAAAH//d8M=")</f>
        <v>#VALUE!</v>
      </c>
      <c r="GO2" t="e">
        <f>AND(List1!B77,"AAAAAH//d8Q=")</f>
        <v>#VALUE!</v>
      </c>
      <c r="GP2" t="e">
        <f>AND(List1!C77,"AAAAAH//d8U=")</f>
        <v>#VALUE!</v>
      </c>
      <c r="GQ2" t="e">
        <f>AND(List1!D77,"AAAAAH//d8Y=")</f>
        <v>#VALUE!</v>
      </c>
      <c r="GR2" t="e">
        <f>AND(List1!E77,"AAAAAH//d8c=")</f>
        <v>#VALUE!</v>
      </c>
      <c r="GS2">
        <f>IF(List1!78:78,"AAAAAH//d8g=",0)</f>
        <v>0</v>
      </c>
      <c r="GT2" t="e">
        <f>AND(List1!A78,"AAAAAH//d8k=")</f>
        <v>#VALUE!</v>
      </c>
      <c r="GU2" t="e">
        <f>AND(List1!B78,"AAAAAH//d8o=")</f>
        <v>#VALUE!</v>
      </c>
      <c r="GV2" t="e">
        <f>AND(List1!C78,"AAAAAH//d8s=")</f>
        <v>#VALUE!</v>
      </c>
      <c r="GW2" t="e">
        <f>AND(List1!D78,"AAAAAH//d8w=")</f>
        <v>#VALUE!</v>
      </c>
      <c r="GX2" t="e">
        <f>AND(List1!E78,"AAAAAH//d80=")</f>
        <v>#VALUE!</v>
      </c>
      <c r="GY2">
        <f>IF(List1!79:79,"AAAAAH//d84=",0)</f>
        <v>0</v>
      </c>
      <c r="GZ2" t="e">
        <f>AND(List1!A79,"AAAAAH//d88=")</f>
        <v>#VALUE!</v>
      </c>
      <c r="HA2" t="e">
        <f>AND(List1!B79,"AAAAAH//d9A=")</f>
        <v>#VALUE!</v>
      </c>
      <c r="HB2" t="e">
        <f>AND(List1!C79,"AAAAAH//d9E=")</f>
        <v>#VALUE!</v>
      </c>
      <c r="HC2" t="e">
        <f>AND(List1!D79,"AAAAAH//d9I=")</f>
        <v>#VALUE!</v>
      </c>
      <c r="HD2" t="e">
        <f>AND(List1!E79,"AAAAAH//d9M=")</f>
        <v>#VALUE!</v>
      </c>
      <c r="HE2">
        <f>IF(List1!80:80,"AAAAAH//d9Q=",0)</f>
        <v>0</v>
      </c>
      <c r="HF2" t="e">
        <f>AND(List1!A80,"AAAAAH//d9U=")</f>
        <v>#VALUE!</v>
      </c>
      <c r="HG2" t="e">
        <f>AND(List1!B80,"AAAAAH//d9Y=")</f>
        <v>#VALUE!</v>
      </c>
      <c r="HH2" t="e">
        <f>AND(List1!C80,"AAAAAH//d9c=")</f>
        <v>#VALUE!</v>
      </c>
      <c r="HI2" t="e">
        <f>AND(List1!D80,"AAAAAH//d9g=")</f>
        <v>#VALUE!</v>
      </c>
      <c r="HJ2" t="e">
        <f>AND(List1!E80,"AAAAAH//d9k=")</f>
        <v>#VALUE!</v>
      </c>
      <c r="HK2">
        <f>IF(List1!81:81,"AAAAAH//d9o=",0)</f>
        <v>0</v>
      </c>
      <c r="HL2" t="e">
        <f>AND(List1!A81,"AAAAAH//d9s=")</f>
        <v>#VALUE!</v>
      </c>
      <c r="HM2" t="e">
        <f>AND(List1!B81,"AAAAAH//d9w=")</f>
        <v>#VALUE!</v>
      </c>
      <c r="HN2" t="e">
        <f>AND(List1!C81,"AAAAAH//d90=")</f>
        <v>#VALUE!</v>
      </c>
      <c r="HO2" t="e">
        <f>AND(List1!D81,"AAAAAH//d94=")</f>
        <v>#VALUE!</v>
      </c>
      <c r="HP2" t="e">
        <f>AND(List1!E81,"AAAAAH//d98=")</f>
        <v>#VALUE!</v>
      </c>
      <c r="HQ2">
        <f>IF(List1!82:82,"AAAAAH//d+A=",0)</f>
        <v>0</v>
      </c>
      <c r="HR2" t="e">
        <f>AND(List1!A82,"AAAAAH//d+E=")</f>
        <v>#VALUE!</v>
      </c>
      <c r="HS2" t="e">
        <f>AND(List1!B82,"AAAAAH//d+I=")</f>
        <v>#VALUE!</v>
      </c>
      <c r="HT2" t="e">
        <f>AND(List1!C82,"AAAAAH//d+M=")</f>
        <v>#VALUE!</v>
      </c>
      <c r="HU2" t="e">
        <f>AND(List1!D82,"AAAAAH//d+Q=")</f>
        <v>#VALUE!</v>
      </c>
      <c r="HV2" t="e">
        <f>AND(List1!E82,"AAAAAH//d+U=")</f>
        <v>#VALUE!</v>
      </c>
      <c r="HW2">
        <f>IF(List1!83:83,"AAAAAH//d+Y=",0)</f>
        <v>0</v>
      </c>
      <c r="HX2" t="e">
        <f>AND(List1!A83,"AAAAAH//d+c=")</f>
        <v>#VALUE!</v>
      </c>
      <c r="HY2" t="e">
        <f>AND(List1!B83,"AAAAAH//d+g=")</f>
        <v>#VALUE!</v>
      </c>
      <c r="HZ2" t="e">
        <f>AND(List1!C83,"AAAAAH//d+k=")</f>
        <v>#VALUE!</v>
      </c>
      <c r="IA2" t="e">
        <f>AND(List1!D83,"AAAAAH//d+o=")</f>
        <v>#VALUE!</v>
      </c>
      <c r="IB2" t="e">
        <f>AND(List1!E83,"AAAAAH//d+s=")</f>
        <v>#VALUE!</v>
      </c>
      <c r="IC2">
        <f>IF(List1!84:84,"AAAAAH//d+w=",0)</f>
        <v>0</v>
      </c>
      <c r="ID2" t="e">
        <f>AND(List1!A84,"AAAAAH//d+0=")</f>
        <v>#VALUE!</v>
      </c>
      <c r="IE2" t="e">
        <f>AND(List1!B84,"AAAAAH//d+4=")</f>
        <v>#VALUE!</v>
      </c>
      <c r="IF2" t="e">
        <f>AND(List1!C84,"AAAAAH//d+8=")</f>
        <v>#VALUE!</v>
      </c>
      <c r="IG2" t="e">
        <f>AND(List1!D84,"AAAAAH//d/A=")</f>
        <v>#VALUE!</v>
      </c>
      <c r="IH2" t="e">
        <f>AND(List1!E84,"AAAAAH//d/E=")</f>
        <v>#VALUE!</v>
      </c>
      <c r="II2">
        <f>IF(List1!85:85,"AAAAAH//d/I=",0)</f>
        <v>0</v>
      </c>
      <c r="IJ2" t="e">
        <f>AND(List1!A85,"AAAAAH//d/M=")</f>
        <v>#VALUE!</v>
      </c>
      <c r="IK2" t="e">
        <f>AND(List1!B85,"AAAAAH//d/Q=")</f>
        <v>#VALUE!</v>
      </c>
      <c r="IL2" t="e">
        <f>AND(List1!C85,"AAAAAH//d/U=")</f>
        <v>#VALUE!</v>
      </c>
      <c r="IM2" t="e">
        <f>AND(List1!D85,"AAAAAH//d/Y=")</f>
        <v>#VALUE!</v>
      </c>
      <c r="IN2" t="e">
        <f>AND(List1!E85,"AAAAAH//d/c=")</f>
        <v>#VALUE!</v>
      </c>
      <c r="IO2">
        <f>IF(List1!86:86,"AAAAAH//d/g=",0)</f>
        <v>0</v>
      </c>
      <c r="IP2" t="e">
        <f>AND(List1!A86,"AAAAAH//d/k=")</f>
        <v>#VALUE!</v>
      </c>
      <c r="IQ2" t="e">
        <f>AND(List1!B86,"AAAAAH//d/o=")</f>
        <v>#VALUE!</v>
      </c>
      <c r="IR2" t="e">
        <f>AND(List1!C86,"AAAAAH//d/s=")</f>
        <v>#VALUE!</v>
      </c>
      <c r="IS2" t="e">
        <f>AND(List1!D86,"AAAAAH//d/w=")</f>
        <v>#VALUE!</v>
      </c>
      <c r="IT2" t="e">
        <f>AND(List1!E86,"AAAAAH//d/0=")</f>
        <v>#VALUE!</v>
      </c>
      <c r="IU2">
        <f>IF(List1!87:87,"AAAAAH//d/4=",0)</f>
        <v>0</v>
      </c>
      <c r="IV2" t="e">
        <f>AND(List1!A87,"AAAAAH//d/8=")</f>
        <v>#VALUE!</v>
      </c>
    </row>
    <row r="3" spans="1:39" ht="12.75">
      <c r="A3" t="e">
        <f>AND(List1!B87,"AAAAAF395wA=")</f>
        <v>#VALUE!</v>
      </c>
      <c r="B3" t="e">
        <f>AND(List1!C87,"AAAAAF395wE=")</f>
        <v>#VALUE!</v>
      </c>
      <c r="C3" t="e">
        <f>AND(List1!D87,"AAAAAF395wI=")</f>
        <v>#VALUE!</v>
      </c>
      <c r="D3" t="e">
        <f>AND(List1!E87,"AAAAAF395wM=")</f>
        <v>#VALUE!</v>
      </c>
      <c r="E3">
        <f>IF(List1!88:88,"AAAAAF395wQ=",0)</f>
        <v>0</v>
      </c>
      <c r="F3" t="e">
        <f>AND(List1!A88,"AAAAAF395wU=")</f>
        <v>#VALUE!</v>
      </c>
      <c r="G3" t="e">
        <f>AND(List1!B88,"AAAAAF395wY=")</f>
        <v>#VALUE!</v>
      </c>
      <c r="H3" t="e">
        <f>AND(List1!C88,"AAAAAF395wc=")</f>
        <v>#VALUE!</v>
      </c>
      <c r="I3" t="e">
        <f>AND(List1!D88,"AAAAAF395wg=")</f>
        <v>#VALUE!</v>
      </c>
      <c r="J3" t="e">
        <f>AND(List1!E88,"AAAAAF395wk=")</f>
        <v>#VALUE!</v>
      </c>
      <c r="K3">
        <f>IF(List1!89:89,"AAAAAF395wo=",0)</f>
        <v>0</v>
      </c>
      <c r="L3" t="e">
        <f>AND(List1!A89,"AAAAAF395ws=")</f>
        <v>#VALUE!</v>
      </c>
      <c r="M3" t="e">
        <f>AND(List1!B89,"AAAAAF395ww=")</f>
        <v>#VALUE!</v>
      </c>
      <c r="N3" t="e">
        <f>AND(List1!C89,"AAAAAF395w0=")</f>
        <v>#VALUE!</v>
      </c>
      <c r="O3" t="e">
        <f>AND(List1!D89,"AAAAAF395w4=")</f>
        <v>#VALUE!</v>
      </c>
      <c r="P3" t="e">
        <f>AND(List1!E89,"AAAAAF395w8=")</f>
        <v>#VALUE!</v>
      </c>
      <c r="Q3" t="e">
        <f>IF(List1!#REF!,"AAAAAF395xA=",0)</f>
        <v>#REF!</v>
      </c>
      <c r="R3" t="e">
        <f>AND(List1!#REF!,"AAAAAF395xE=")</f>
        <v>#REF!</v>
      </c>
      <c r="S3" t="e">
        <f>AND(List1!#REF!,"AAAAAF395xI=")</f>
        <v>#REF!</v>
      </c>
      <c r="T3" t="e">
        <f>AND(List1!#REF!,"AAAAAF395xM=")</f>
        <v>#REF!</v>
      </c>
      <c r="U3" t="e">
        <f>AND(List1!#REF!,"AAAAAF395xQ=")</f>
        <v>#REF!</v>
      </c>
      <c r="V3" t="e">
        <f>AND(List1!#REF!,"AAAAAF395xU=")</f>
        <v>#REF!</v>
      </c>
      <c r="W3">
        <f>IF(List1!90:90,"AAAAAF395xY=",0)</f>
        <v>0</v>
      </c>
      <c r="X3" t="e">
        <f>AND(List1!A90,"AAAAAF395xc=")</f>
        <v>#VALUE!</v>
      </c>
      <c r="Y3" t="e">
        <f>AND(List1!B90,"AAAAAF395xg=")</f>
        <v>#VALUE!</v>
      </c>
      <c r="Z3" t="e">
        <f>AND(List1!C90,"AAAAAF395xk=")</f>
        <v>#VALUE!</v>
      </c>
      <c r="AA3" t="e">
        <f>AND(List1!D90,"AAAAAF395xo=")</f>
        <v>#VALUE!</v>
      </c>
      <c r="AB3" t="e">
        <f>AND(List1!E90,"AAAAAF395xs=")</f>
        <v>#VALUE!</v>
      </c>
      <c r="AC3">
        <f>IF(List1!91:91,"AAAAAF395xw=",0)</f>
        <v>0</v>
      </c>
      <c r="AD3" t="e">
        <f>AND(List1!A91,"AAAAAF395x0=")</f>
        <v>#VALUE!</v>
      </c>
      <c r="AE3" t="e">
        <f>AND(List1!B91,"AAAAAF395x4=")</f>
        <v>#VALUE!</v>
      </c>
      <c r="AF3" t="e">
        <f>AND(List1!C91,"AAAAAF395x8=")</f>
        <v>#VALUE!</v>
      </c>
      <c r="AG3" t="e">
        <f>AND(List1!D91,"AAAAAF395yA=")</f>
        <v>#VALUE!</v>
      </c>
      <c r="AH3" t="e">
        <f>AND(List1!E91,"AAAAAF395yE=")</f>
        <v>#VALUE!</v>
      </c>
      <c r="AI3" t="e">
        <f>IF(List1!A:A,"AAAAAF395yI=",0)</f>
        <v>#VALUE!</v>
      </c>
      <c r="AJ3">
        <f>IF(List1!B:B,"AAAAAF395yM=",0)</f>
        <v>0</v>
      </c>
      <c r="AK3">
        <f>IF(List1!C:C,"AAAAAF395yQ=",0)</f>
        <v>0</v>
      </c>
      <c r="AL3">
        <f>IF(List1!D:D,"AAAAAF395yU=",0)</f>
        <v>0</v>
      </c>
      <c r="AM3">
        <f>IF(List1!E:E,"AAAAAF395yY=",0)</f>
        <v>0</v>
      </c>
    </row>
    <row r="4" spans="1:6" ht="12.75">
      <c r="A4">
        <f>IF(List1!17:17,"AAAAAH9n7QA=",0)</f>
        <v>0</v>
      </c>
      <c r="B4" t="e">
        <f>AND(List1!A17,"AAAAAH9n7QE=")</f>
        <v>#VALUE!</v>
      </c>
      <c r="C4" t="e">
        <f>AND(List1!B17,"AAAAAH9n7QI=")</f>
        <v>#VALUE!</v>
      </c>
      <c r="D4" t="e">
        <f>AND(List1!C17,"AAAAAH9n7QM=")</f>
        <v>#VALUE!</v>
      </c>
      <c r="E4" t="e">
        <f>AND(List1!D17,"AAAAAH9n7QQ=")</f>
        <v>#VALUE!</v>
      </c>
      <c r="F4" t="e">
        <f>AND(List1!E17,"AAAAAH9n7QU=")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Podzahradna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Ľuboslav Šimonovič</dc:creator>
  <cp:keywords/>
  <dc:description/>
  <cp:lastModifiedBy>Gabriela Fajnorová</cp:lastModifiedBy>
  <cp:lastPrinted>2020-08-21T06:57:59Z</cp:lastPrinted>
  <dcterms:created xsi:type="dcterms:W3CDTF">2006-01-16T16:30:40Z</dcterms:created>
  <dcterms:modified xsi:type="dcterms:W3CDTF">2020-08-24T12:42:06Z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1d-dn705Rob-pjKDhUGlK8bRGXRBQIJOE2S3oBye2v_k</vt:lpwstr>
  </property>
  <property fmtid="{D5CDD505-2E9C-101B-9397-08002B2CF9AE}" pid="4" name="Google.Documents.RevisionId">
    <vt:lpwstr>01988877299559693744</vt:lpwstr>
  </property>
  <property fmtid="{D5CDD505-2E9C-101B-9397-08002B2CF9AE}" pid="5" name="Google.Documents.PreviousRevisionId">
    <vt:lpwstr>15019257888383017051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